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firstSheet="1" activeTab="1"/>
  </bookViews>
  <sheets>
    <sheet name="Blad1" sheetId="1" state="hidden" r:id="rId1"/>
    <sheet name="Rekenmodule" sheetId="2" r:id="rId2"/>
  </sheets>
  <definedNames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test">#REF!</definedName>
  </definedNames>
  <calcPr fullCalcOnLoad="1"/>
</workbook>
</file>

<file path=xl/comments2.xml><?xml version="1.0" encoding="utf-8"?>
<comments xmlns="http://schemas.openxmlformats.org/spreadsheetml/2006/main">
  <authors>
    <author>Medewerker Diergeneeskunde</author>
  </authors>
  <commentList>
    <comment ref="E28" authorId="0">
      <text>
        <r>
          <rPr>
            <sz val="10"/>
            <rFont val="Tahoma"/>
            <family val="2"/>
          </rPr>
          <t>In onze standaard berekening gaan we er van uit dat 30% van de aanwezige melkkoeien een klinische mastitis krijgt. Voor een bedrijf met 65 koeien, zouden dat dus 20 gevallen per jaar zijn.</t>
        </r>
      </text>
    </comment>
    <comment ref="E33" authorId="0">
      <text>
        <r>
          <rPr>
            <sz val="10"/>
            <rFont val="Tahoma"/>
            <family val="2"/>
          </rPr>
          <t>In de standaardberekening zijn 20% van de klinische gevallen Streptococcus Uberis. Wanneer er 20 klinische gevallen zijn, zijn er dus 4 SUB.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sz val="10"/>
            <rFont val="Tahoma"/>
            <family val="2"/>
          </rPr>
          <t xml:space="preserve">In de standaardberekening zijn er geen gevallen van Streptococcus Agalactiae. 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sz val="10"/>
            <rFont val="Tahoma"/>
            <family val="2"/>
          </rPr>
          <t>In de standaardberekening zijn 15% van de klinische gevallen Streptococcus Dysgalactiae. Wanneer er 20 klinische gevallen zijn, zijn er dus 3 SDY.</t>
        </r>
      </text>
    </comment>
    <comment ref="E36" authorId="0">
      <text>
        <r>
          <rPr>
            <sz val="10"/>
            <rFont val="Tahoma"/>
            <family val="2"/>
          </rPr>
          <t>In de standaardberekening zijn 20% van de klinische gevallen Staphylococcus Aureus. Wanneer er 20 klinische gevallen zijn, zijn er dus 4 SUB.</t>
        </r>
      </text>
    </comment>
    <comment ref="E37" authorId="0">
      <text>
        <r>
          <rPr>
            <sz val="10"/>
            <rFont val="Tahoma"/>
            <family val="2"/>
          </rPr>
          <t>In de standaardberekening zijn 30% van de klinische gevallen coli's. Wanneer er 20 klinische gevallen zijn, zijn er dus 6 ECO.</t>
        </r>
      </text>
    </comment>
    <comment ref="E38" authorId="0">
      <text>
        <r>
          <rPr>
            <sz val="10"/>
            <rFont val="Tahoma"/>
            <family val="2"/>
          </rPr>
          <t>In de standaardberekening zijn 15% van de klinische gevallen anders dan bovengenoemde. Wanneer er 20 klinische gevallen zijn, zijn er dus 3 anders.</t>
        </r>
      </text>
    </comment>
    <comment ref="E44" authorId="0">
      <text>
        <r>
          <rPr>
            <sz val="10"/>
            <rFont val="Tahoma"/>
            <family val="2"/>
          </rPr>
          <t xml:space="preserve">In de standaardberekening komt 58% van de klinische gevallen voor in de eerste 3 maanden van lactatie. </t>
        </r>
      </text>
    </comment>
    <comment ref="E45" authorId="0">
      <text>
        <r>
          <rPr>
            <sz val="10"/>
            <rFont val="Tahoma"/>
            <family val="2"/>
          </rPr>
          <t>In de standaardberekening komt 42% van de klinische gevallen voor tijdens de rest van de lactatie (dus na de 3e maand).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sz val="10"/>
            <rFont val="Tahoma"/>
            <family val="2"/>
          </rPr>
          <t>In een gemiddelde situatie gaan we hier uit van 5%.</t>
        </r>
        <r>
          <rPr>
            <sz val="8"/>
            <rFont val="Tahoma"/>
            <family val="0"/>
          </rPr>
          <t xml:space="preserve">
</t>
        </r>
      </text>
    </comment>
    <comment ref="E50" authorId="0">
      <text>
        <r>
          <rPr>
            <sz val="10"/>
            <rFont val="Tahoma"/>
            <family val="2"/>
          </rPr>
          <t xml:space="preserve">Dit is de huidige melkprijs min de extra voerkosten. Gemiddeld is dit €0,20. </t>
        </r>
      </text>
    </comment>
    <comment ref="E51" authorId="0">
      <text>
        <r>
          <rPr>
            <sz val="10"/>
            <rFont val="Tahoma"/>
            <family val="2"/>
          </rPr>
          <t>Meestal zal dit ongeveer in 5% van de klinische gevallen het geval zijn. Bij 20 klinische gevallen zal dus 1 keer de dierenarts erbij gehaald worden.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sz val="10"/>
            <rFont val="Tahoma"/>
            <family val="2"/>
          </rPr>
          <t>Dit zijn dus alleen de kosten voor de dierenarts, zonder medicijnkosten of andere materiaalkosten. Gemiddeld gaan wij uit van €20.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sz val="10"/>
            <rFont val="Tahoma"/>
            <family val="2"/>
          </rPr>
          <t>Dit is de tijd die u zelf kwijt bent aan het behandelen van 1 geval van klinische mastitis. Gemiddeld zal dit ongeveer 45 minuten zijn.</t>
        </r>
        <r>
          <rPr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sz val="10"/>
            <rFont val="Tahoma"/>
            <family val="2"/>
          </rPr>
          <t>Dit zijn dus alleen de medicijnkosten voor 1 klinisch geval. Hier zal veel variatie inzitten, afhankelijk van de soort behandeling, maar probeer toch een gemiddelde in te vullen. In onze berekening gaan we gemiddeld uit van €20 (simpele behandeling).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sz val="10"/>
            <rFont val="Tahoma"/>
            <family val="2"/>
          </rPr>
          <t>Gemiddeld gaan wij hier uit van 6 dagen (3 dagen behandeltijd en 3 dagen wachttijd).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sz val="10"/>
            <rFont val="Tahoma"/>
            <family val="2"/>
          </rPr>
          <t>Dit is de waardering die u geeft aan uw eigen arbeid. Gemiddeld gaan wij hier uit van €18/uur. U kunt dit ook zien als het bedrag wat u over heeft om een klinisch geval niet te hoeven behandelen.</t>
        </r>
      </text>
    </comment>
    <comment ref="E57" authorId="0">
      <text>
        <r>
          <rPr>
            <sz val="10"/>
            <rFont val="Tahoma"/>
            <family val="2"/>
          </rPr>
          <t>Gemiddeld gaan wij uit van €0,05 per kg melk. Dit bedrag is nodig om de kosten van het weggooien van melk uit te rekenen.</t>
        </r>
      </text>
    </comment>
    <comment ref="E61" authorId="0">
      <text>
        <r>
          <rPr>
            <sz val="10"/>
            <rFont val="Tahoma"/>
            <family val="2"/>
          </rPr>
          <t>Vul hier u gemiddeld tankcelgetal van afgelopen jaar in.</t>
        </r>
        <r>
          <rPr>
            <sz val="8"/>
            <rFont val="Tahoma"/>
            <family val="0"/>
          </rPr>
          <t xml:space="preserve">
</t>
        </r>
      </text>
    </comment>
    <comment ref="E84" authorId="0">
      <text>
        <r>
          <rPr>
            <sz val="10"/>
            <rFont val="Tahoma"/>
            <family val="2"/>
          </rPr>
          <t>Vaak worden subklinische mastitis gevallen niet behandeld. Mocht u dat toch doen dan kunt u hier aangeven hoeveel gevallen per jaar u behandeld.</t>
        </r>
        <r>
          <rPr>
            <sz val="8"/>
            <rFont val="Tahoma"/>
            <family val="0"/>
          </rPr>
          <t xml:space="preserve">
</t>
        </r>
      </text>
    </comment>
    <comment ref="E85" authorId="0">
      <text>
        <r>
          <rPr>
            <sz val="10"/>
            <rFont val="Tahoma"/>
            <family val="2"/>
          </rPr>
          <t>Vaak zult u de subklinische gevallen zelf behandelen (als u behandeld). Mocht u hier ook de dierenarts bij inschakelen dan kunt u hier aangeven hoe vaak per jaar dit is.</t>
        </r>
      </text>
    </comment>
    <comment ref="E86" authorId="0">
      <text>
        <r>
          <rPr>
            <sz val="10"/>
            <rFont val="Tahoma"/>
            <family val="2"/>
          </rPr>
          <t>Dit zijn dus alleen de kosten voor de dierenarts, zonder medicijnkosten of andere materiaalkosten. Gemiddeld gaan wij uit van €20.</t>
        </r>
        <r>
          <rPr>
            <sz val="8"/>
            <rFont val="Tahoma"/>
            <family val="0"/>
          </rPr>
          <t xml:space="preserve">
</t>
        </r>
      </text>
    </comment>
    <comment ref="E87" authorId="0">
      <text>
        <r>
          <rPr>
            <sz val="10"/>
            <rFont val="Tahoma"/>
            <family val="2"/>
          </rPr>
          <t>Dit is de tijd die u zelf kwijt bent aan het behandelen van 1 geval van klinische mastitis. Gemiddeld zal dit ongeveer 30 minuten zijn.</t>
        </r>
      </text>
    </comment>
    <comment ref="E88" authorId="0">
      <text>
        <r>
          <rPr>
            <sz val="10"/>
            <rFont val="Tahoma"/>
            <family val="2"/>
          </rPr>
          <t>Dit zijn dus alleen de medicijnkosten voor 1 klinisch geval. Hier zal veel variatie inzitten, afhankelijk van de soort behandeling, maar probeer toch een gemiddelde in te vullen. In onze berekening gaan we gemiddeld uit van €9 (simpele behandeling).</t>
        </r>
      </text>
    </comment>
    <comment ref="E89" authorId="0">
      <text>
        <r>
          <rPr>
            <sz val="10"/>
            <rFont val="Tahoma"/>
            <family val="2"/>
          </rPr>
          <t>Gemiddeld gaan wij hier uit van 6 dagen (3 dagen behandeltijd en 3 dagen wachttijd).</t>
        </r>
      </text>
    </comment>
    <comment ref="E91" authorId="0">
      <text>
        <r>
          <rPr>
            <sz val="10"/>
            <rFont val="Tahoma"/>
            <family val="2"/>
          </rPr>
          <t xml:space="preserve">Wij gaan er standaard van uit dat u geen kortingspunten heeft gehad voor een te hoog celgetal. Mocht dit wel het geval zijn dan kunt u hier aangeven hoeveel kortingspunten u afgelopen jaar gekregen heeft. </t>
        </r>
        <r>
          <rPr>
            <sz val="8"/>
            <rFont val="Tahoma"/>
            <family val="0"/>
          </rPr>
          <t xml:space="preserve">
</t>
        </r>
      </text>
    </comment>
    <comment ref="E95" authorId="0">
      <text>
        <r>
          <rPr>
            <sz val="10"/>
            <rFont val="Tahoma"/>
            <family val="2"/>
          </rPr>
          <t>Het gaat hier om dieren die afgevoerd zijn omdat ze mastitis hadden. Meerdere redenen kunnen meespelen. U kunt de dieren optellen die u niet afgevoerd zou hebben wanneer ze geen mastitis gehad zouden hebben. Gemiddeld zal dit overeenkomen met ongeveer 15% van de klinische gevallen (bij 20 klinische gevallen, dus 3 dieren afgevoerd). Ook dieren die u heeft afgevoerd vanwege subklinische mastitis kunt u hierbij optellen.</t>
        </r>
        <r>
          <rPr>
            <sz val="8"/>
            <rFont val="Tahoma"/>
            <family val="0"/>
          </rPr>
          <t xml:space="preserve">
</t>
        </r>
      </text>
    </comment>
    <comment ref="E96" authorId="0">
      <text>
        <r>
          <rPr>
            <sz val="10"/>
            <rFont val="Tahoma"/>
            <family val="2"/>
          </rPr>
          <t>Hier kunt u de afvoerkosten invullen. Dit zijn de kosten voor het vervangen van het dier, dus de slachtwaarde min de kosten voor een nieuw dier. Gemiddeld zijn deze kosten €480 maar dit hangt natuurlijk af van de waarde van het afgevoerde dier en de kosten van opfok.</t>
        </r>
      </text>
    </comment>
  </commentList>
</comments>
</file>

<file path=xl/sharedStrings.xml><?xml version="1.0" encoding="utf-8"?>
<sst xmlns="http://schemas.openxmlformats.org/spreadsheetml/2006/main" count="126" uniqueCount="95">
  <si>
    <t>SUB</t>
  </si>
  <si>
    <t>SAG</t>
  </si>
  <si>
    <t>SDY</t>
  </si>
  <si>
    <t>SAU</t>
  </si>
  <si>
    <t>ECO</t>
  </si>
  <si>
    <t>INPUT</t>
  </si>
  <si>
    <t>aantal melkkoeien</t>
  </si>
  <si>
    <t>gemiddelde 305 dagen productie</t>
  </si>
  <si>
    <t>totaal</t>
  </si>
  <si>
    <t>Anders</t>
  </si>
  <si>
    <t>productieverliezen klinische gevallen</t>
  </si>
  <si>
    <t># dierenartsbezoeken voor klinische gevallen</t>
  </si>
  <si>
    <t>dierenartskosten (excl medicijnen)</t>
  </si>
  <si>
    <t>behandeltijd veehouder (minuten)</t>
  </si>
  <si>
    <t>medicijnen</t>
  </si>
  <si>
    <t>wachttijd (behandeltijd en wachttijd) (dagen)</t>
  </si>
  <si>
    <t>waardering arbeid (€/uur)</t>
  </si>
  <si>
    <t>aantal koeien</t>
  </si>
  <si>
    <t># behandelingen subklinische gevallen</t>
  </si>
  <si>
    <t># dierenartsbezoeken voor subklinische gevallen</t>
  </si>
  <si>
    <t>Algemene en klinische gegevens</t>
  </si>
  <si>
    <t>kosten medicijnen (€/geval)</t>
  </si>
  <si>
    <t>kortingspunten</t>
  </si>
  <si>
    <t>aantal dieren afgevoerd</t>
  </si>
  <si>
    <t>kosten productie verliezen (€/kg)</t>
  </si>
  <si>
    <t>afvoerkosten (€/afgevoerd geval)</t>
  </si>
  <si>
    <t>kosten dierenarts (excl medicijnen) (€/geval)</t>
  </si>
  <si>
    <t>REKENMODULE KOSTEN MASTITIS OP BEDRIJFSNIVEAU</t>
  </si>
  <si>
    <t>aantal koeien met SCC &lt;=50</t>
  </si>
  <si>
    <t>aantal koeien met SCC 50-100</t>
  </si>
  <si>
    <t>aantal klinische gevallen per jaar</t>
  </si>
  <si>
    <t>?</t>
  </si>
  <si>
    <t>Wanneer u hier informatie over heeft kunt u de klinische gevallen verdelen over de verschillende mastitis</t>
  </si>
  <si>
    <t>voerkosten (€/kg melk)</t>
  </si>
  <si>
    <t>Kosten van mastitis op uw bedrijf</t>
  </si>
  <si>
    <t>uitrekenen. Wanneer u niet precies weet wat de waarde is, kunt u via het vraagteken informatie krijgen</t>
  </si>
  <si>
    <t>over de gemiddelde waarden. Deze kunt u dan natuurlijk aanpassen naar uw bedrijf.</t>
  </si>
  <si>
    <t>Wanneer u precieze gegevens heeft van het aantal koeien met verschillende niveau's van celgetal en het aantal</t>
  </si>
  <si>
    <t>gemiddeld tankcelgetal (*1000 cellen/ml)</t>
  </si>
  <si>
    <t>Subklinische gegevens (celgetal)</t>
  </si>
  <si>
    <t>Subklinische gegevens (behandelingen)</t>
  </si>
  <si>
    <t>Afvoer</t>
  </si>
  <si>
    <t>Uw waarde</t>
  </si>
  <si>
    <t>BTSCC</t>
  </si>
  <si>
    <t>&lt;100</t>
  </si>
  <si>
    <t>&gt;=100 &lt;200</t>
  </si>
  <si>
    <t>200-250</t>
  </si>
  <si>
    <t>&gt;=250 &lt;400</t>
  </si>
  <si>
    <t>&gt;=400</t>
  </si>
  <si>
    <t>aantal koeien met SCC &gt;400</t>
  </si>
  <si>
    <t>aantal koeien met SCC 350 - 400</t>
  </si>
  <si>
    <t>aantal koeien met SCC 300-350</t>
  </si>
  <si>
    <t>aantal koeien met SCC 250-300</t>
  </si>
  <si>
    <t>aantal koeien met SCC 100-150</t>
  </si>
  <si>
    <t>aantal koeien met SCC 150-200</t>
  </si>
  <si>
    <t>aantal koeien met SCC 200-250</t>
  </si>
  <si>
    <t xml:space="preserve">dagen dat ze gemiddeld verhoogd zijn, kunt u dat hieronder wijzigen. Anders gaan we uit van een gemiddelde </t>
  </si>
  <si>
    <t>verdeling (zoals gegeven) aan de hand van het gemiddelde tankcelgetal.</t>
  </si>
  <si>
    <t>Door hieronder uw bedrijfsspecifieke kenmerken en bedragen in te vullen, kunt u uw kosten van mastitis</t>
  </si>
  <si>
    <t>De waarden die ingevuld zijn op het moment dat u de rekenmodule voor het eerst invult zijn</t>
  </si>
  <si>
    <t>dit moet u zelf aanpassen.</t>
  </si>
  <si>
    <t>eerste schatting te maken van wat u denkt dat mastitis u in totaal op jaarbasis kost.</t>
  </si>
  <si>
    <t>Hoeveel kost mastitis u op uw bedrijf in €/jaar?</t>
  </si>
  <si>
    <t>Dit betekent dus een verschil van</t>
  </si>
  <si>
    <t>Totaal kosten mastitis per jaar</t>
  </si>
  <si>
    <t>Kosten per klinisch geval</t>
  </si>
  <si>
    <t>Kosten per aanwezige koe per jaar</t>
  </si>
  <si>
    <t>productieverliezen klinisch (€/jaar)</t>
  </si>
  <si>
    <t>productieverliezen subklinisch (€/jaar)</t>
  </si>
  <si>
    <t>weggegooide melk (€/jaar)</t>
  </si>
  <si>
    <t>dierenarts (€/jaar)</t>
  </si>
  <si>
    <t>medicijnen (€/jaar)</t>
  </si>
  <si>
    <t>arbeid (€/jaar)</t>
  </si>
  <si>
    <t>korting (€/jaar)</t>
  </si>
  <si>
    <t>afvoerkosten (€/jaar)</t>
  </si>
  <si>
    <t>tijdens de eerste drie maanden in lactatie</t>
  </si>
  <si>
    <t>tijdens de rest van de lactatie</t>
  </si>
  <si>
    <t>Klinische mastitis gevallen kunnen in verschillende maanden in de lactatie voorkomen. Gemiddeld komen</t>
  </si>
  <si>
    <t>er meer gevallen voor de in eerste drie maanden van lactatie dan in de rest van de lactatie. Hieronder staat</t>
  </si>
  <si>
    <t xml:space="preserve">een gemiddelde verdeling. Deze kunt u eventueel wijzigen. </t>
  </si>
  <si>
    <t xml:space="preserve">Wanneer dit bedrag negatief is dan heeft u de kosten </t>
  </si>
  <si>
    <t>onderschat, bij een positief bedrag heeft u de kosten</t>
  </si>
  <si>
    <t>overschat.</t>
  </si>
  <si>
    <t xml:space="preserve">Voordat we uw bedrijfsspecifieke kosten van mastitis gaan uitrekenen, vragen we u hier om een </t>
  </si>
  <si>
    <t>aantal dagen verhoogd</t>
  </si>
  <si>
    <t>SCC</t>
  </si>
  <si>
    <t>lnSCC</t>
  </si>
  <si>
    <t>kg/day</t>
  </si>
  <si>
    <t>btscc</t>
  </si>
  <si>
    <t>prodverl</t>
  </si>
  <si>
    <t>Heeft u de cellen D69-D77 aangepast? (0=nee, 1=ja)</t>
  </si>
  <si>
    <t xml:space="preserve">gebaseerd op onze gemiddelde waarden en veranderen niet allemaal mee met uw waarden, </t>
  </si>
  <si>
    <t>veroorzakende pathogenen. Wanneer u niks invult, gaan wij in de berekening uit van de standaardgetallen die u</t>
  </si>
  <si>
    <t>ook kunt vinden onder het vraagteken:</t>
  </si>
  <si>
    <t>Uw verwachte kosten waren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</si>
</sst>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&quot;€&quot;\ #,##0.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indexed="42"/>
      <name val="Arial"/>
      <family val="0"/>
    </font>
    <font>
      <sz val="12"/>
      <color indexed="9"/>
      <name val="Times New Roman"/>
      <family val="1"/>
    </font>
    <font>
      <b/>
      <sz val="10"/>
      <color indexed="42"/>
      <name val="Arial"/>
      <family val="2"/>
    </font>
    <font>
      <sz val="11"/>
      <name val="Times New Roman"/>
      <family val="1"/>
    </font>
    <font>
      <b/>
      <sz val="12"/>
      <color indexed="42"/>
      <name val="Arial"/>
      <family val="0"/>
    </font>
    <font>
      <sz val="11"/>
      <color indexed="42"/>
      <name val="Arial"/>
      <family val="0"/>
    </font>
    <font>
      <sz val="11"/>
      <color indexed="42"/>
      <name val="Times New Roman"/>
      <family val="1"/>
    </font>
    <font>
      <sz val="11"/>
      <color indexed="9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2" fontId="0" fillId="34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1" fontId="10" fillId="34" borderId="0" xfId="0" applyNumberFormat="1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2" fontId="10" fillId="34" borderId="0" xfId="0" applyNumberFormat="1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 hidden="1" locked="0"/>
    </xf>
    <xf numFmtId="9" fontId="11" fillId="34" borderId="0" xfId="0" applyNumberFormat="1" applyFont="1" applyFill="1" applyAlignment="1" applyProtection="1">
      <alignment/>
      <protection/>
    </xf>
    <xf numFmtId="1" fontId="11" fillId="35" borderId="0" xfId="0" applyNumberFormat="1" applyFont="1" applyFill="1" applyAlignment="1" applyProtection="1">
      <alignment horizontal="center"/>
      <protection/>
    </xf>
    <xf numFmtId="1" fontId="11" fillId="34" borderId="0" xfId="0" applyNumberFormat="1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3" fillId="34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0" fontId="10" fillId="34" borderId="0" xfId="0" applyFont="1" applyFill="1" applyAlignment="1" applyProtection="1">
      <alignment/>
      <protection hidden="1"/>
    </xf>
    <xf numFmtId="1" fontId="10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1" fontId="10" fillId="36" borderId="0" xfId="0" applyNumberFormat="1" applyFont="1" applyFill="1" applyBorder="1" applyAlignment="1" applyProtection="1">
      <alignment/>
      <protection hidden="1" locked="0"/>
    </xf>
    <xf numFmtId="1" fontId="10" fillId="34" borderId="0" xfId="0" applyNumberFormat="1" applyFont="1" applyFill="1" applyBorder="1" applyAlignment="1" applyProtection="1">
      <alignment/>
      <protection hidden="1" locked="0"/>
    </xf>
    <xf numFmtId="9" fontId="10" fillId="36" borderId="0" xfId="0" applyNumberFormat="1" applyFont="1" applyFill="1" applyBorder="1" applyAlignment="1" applyProtection="1">
      <alignment/>
      <protection hidden="1" locked="0"/>
    </xf>
    <xf numFmtId="2" fontId="10" fillId="36" borderId="0" xfId="0" applyNumberFormat="1" applyFont="1" applyFill="1" applyBorder="1" applyAlignment="1" applyProtection="1">
      <alignment/>
      <protection hidden="1" locked="0"/>
    </xf>
    <xf numFmtId="0" fontId="11" fillId="34" borderId="0" xfId="0" applyFont="1" applyFill="1" applyAlignment="1" applyProtection="1">
      <alignment/>
      <protection hidden="1" locked="0"/>
    </xf>
    <xf numFmtId="0" fontId="10" fillId="36" borderId="0" xfId="0" applyFont="1" applyFill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/>
      <protection hidden="1" locked="0"/>
    </xf>
    <xf numFmtId="1" fontId="11" fillId="34" borderId="0" xfId="0" applyNumberFormat="1" applyFont="1" applyFill="1" applyBorder="1" applyAlignment="1" applyProtection="1">
      <alignment/>
      <protection hidden="1" locked="0"/>
    </xf>
    <xf numFmtId="0" fontId="0" fillId="34" borderId="0" xfId="0" applyFill="1" applyAlignment="1" applyProtection="1">
      <alignment/>
      <protection locked="0"/>
    </xf>
    <xf numFmtId="172" fontId="4" fillId="34" borderId="0" xfId="0" applyNumberFormat="1" applyFont="1" applyFill="1" applyAlignment="1" applyProtection="1">
      <alignment/>
      <protection/>
    </xf>
    <xf numFmtId="0" fontId="16" fillId="34" borderId="0" xfId="0" applyFont="1" applyFill="1" applyAlignment="1" applyProtection="1">
      <alignment horizontal="center"/>
      <protection/>
    </xf>
    <xf numFmtId="0" fontId="16" fillId="34" borderId="0" xfId="0" applyFont="1" applyFill="1" applyAlignment="1" applyProtection="1">
      <alignment horizontal="center"/>
      <protection hidden="1"/>
    </xf>
    <xf numFmtId="172" fontId="4" fillId="36" borderId="0" xfId="0" applyNumberFormat="1" applyFont="1" applyFill="1" applyAlignment="1" applyProtection="1">
      <alignment horizontal="center"/>
      <protection locked="0"/>
    </xf>
    <xf numFmtId="172" fontId="4" fillId="34" borderId="0" xfId="0" applyNumberFormat="1" applyFont="1" applyFill="1" applyAlignment="1" applyProtection="1">
      <alignment/>
      <protection hidden="1" locked="0"/>
    </xf>
    <xf numFmtId="172" fontId="5" fillId="34" borderId="11" xfId="0" applyNumberFormat="1" applyFont="1" applyFill="1" applyBorder="1" applyAlignment="1" applyProtection="1">
      <alignment/>
      <protection hidden="1" locked="0"/>
    </xf>
    <xf numFmtId="172" fontId="5" fillId="34" borderId="0" xfId="0" applyNumberFormat="1" applyFont="1" applyFill="1" applyAlignment="1" applyProtection="1">
      <alignment/>
      <protection hidden="1" locked="0"/>
    </xf>
    <xf numFmtId="0" fontId="13" fillId="34" borderId="0" xfId="0" applyFont="1" applyFill="1" applyAlignment="1" applyProtection="1">
      <alignment horizontal="center"/>
      <protection/>
    </xf>
    <xf numFmtId="10" fontId="17" fillId="34" borderId="0" xfId="0" applyNumberFormat="1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 applyProtection="1">
      <alignment/>
      <protection hidden="1" locked="0"/>
    </xf>
    <xf numFmtId="0" fontId="0" fillId="34" borderId="0" xfId="0" applyFont="1" applyFill="1" applyAlignment="1" applyProtection="1">
      <alignment/>
      <protection hidden="1"/>
    </xf>
    <xf numFmtId="172" fontId="14" fillId="34" borderId="0" xfId="0" applyNumberFormat="1" applyFont="1" applyFill="1" applyAlignment="1" applyProtection="1">
      <alignment/>
      <protection/>
    </xf>
    <xf numFmtId="172" fontId="14" fillId="34" borderId="0" xfId="0" applyNumberFormat="1" applyFont="1" applyFill="1" applyAlignment="1" applyProtection="1">
      <alignment/>
      <protection hidden="1"/>
    </xf>
    <xf numFmtId="172" fontId="16" fillId="34" borderId="0" xfId="0" applyNumberFormat="1" applyFont="1" applyFill="1" applyAlignment="1" applyProtection="1">
      <alignment/>
      <protection hidden="1"/>
    </xf>
    <xf numFmtId="172" fontId="18" fillId="34" borderId="0" xfId="0" applyNumberFormat="1" applyFont="1" applyFill="1" applyBorder="1" applyAlignment="1" applyProtection="1">
      <alignment/>
      <protection hidden="1" locked="0"/>
    </xf>
    <xf numFmtId="172" fontId="3" fillId="34" borderId="0" xfId="0" applyNumberFormat="1" applyFont="1" applyFill="1" applyAlignment="1" applyProtection="1">
      <alignment/>
      <protection hidden="1"/>
    </xf>
    <xf numFmtId="10" fontId="0" fillId="0" borderId="0" xfId="0" applyNumberFormat="1" applyAlignment="1">
      <alignment/>
    </xf>
    <xf numFmtId="9" fontId="0" fillId="34" borderId="0" xfId="0" applyNumberFormat="1" applyFill="1" applyAlignment="1" applyProtection="1">
      <alignment/>
      <protection hidden="1"/>
    </xf>
    <xf numFmtId="172" fontId="0" fillId="33" borderId="0" xfId="0" applyNumberFormat="1" applyFill="1" applyAlignment="1" applyProtection="1">
      <alignment/>
      <protection hidden="1" locked="0"/>
    </xf>
    <xf numFmtId="0" fontId="15" fillId="33" borderId="0" xfId="0" applyFont="1" applyFill="1" applyBorder="1" applyAlignment="1" applyProtection="1">
      <alignment horizontal="center" vertical="top" wrapText="1"/>
      <protection hidden="1" locked="0"/>
    </xf>
    <xf numFmtId="0" fontId="19" fillId="34" borderId="0" xfId="0" applyFont="1" applyFill="1" applyAlignment="1" applyProtection="1">
      <alignment/>
      <protection hidden="1"/>
    </xf>
    <xf numFmtId="10" fontId="20" fillId="34" borderId="0" xfId="0" applyNumberFormat="1" applyFont="1" applyFill="1" applyBorder="1" applyAlignment="1" applyProtection="1">
      <alignment horizontal="center" vertical="top" wrapText="1"/>
      <protection hidden="1"/>
    </xf>
    <xf numFmtId="1" fontId="19" fillId="34" borderId="0" xfId="0" applyNumberFormat="1" applyFont="1" applyFill="1" applyBorder="1" applyAlignment="1" applyProtection="1">
      <alignment/>
      <protection hidden="1"/>
    </xf>
    <xf numFmtId="10" fontId="15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21" fillId="33" borderId="0" xfId="0" applyFont="1" applyFill="1" applyAlignment="1" applyProtection="1">
      <alignment/>
      <protection hidden="1" locked="0"/>
    </xf>
    <xf numFmtId="1" fontId="21" fillId="33" borderId="0" xfId="0" applyNumberFormat="1" applyFont="1" applyFill="1" applyBorder="1" applyAlignment="1" applyProtection="1">
      <alignment/>
      <protection hidden="1" locked="0"/>
    </xf>
    <xf numFmtId="0" fontId="22" fillId="33" borderId="0" xfId="0" applyFont="1" applyFill="1" applyAlignment="1" applyProtection="1">
      <alignment/>
      <protection hidden="1" locked="0"/>
    </xf>
    <xf numFmtId="10" fontId="22" fillId="33" borderId="0" xfId="0" applyNumberFormat="1" applyFont="1" applyFill="1" applyAlignment="1" applyProtection="1">
      <alignment/>
      <protection hidden="1" locked="0"/>
    </xf>
    <xf numFmtId="0" fontId="10" fillId="37" borderId="0" xfId="0" applyFont="1" applyFill="1" applyBorder="1" applyAlignment="1" applyProtection="1">
      <alignment/>
      <protection hidden="1" locked="0"/>
    </xf>
    <xf numFmtId="0" fontId="13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 vertical="top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25"/>
          <c:w val="0.96875"/>
          <c:h val="0.92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Blad1!$A$5:$A$14</c:f>
              <c:numCache/>
            </c:numRef>
          </c:xVal>
          <c:yVal>
            <c:numRef>
              <c:f>Blad1!$F$5:$F$14</c:f>
              <c:numCache/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 val="autoZero"/>
        <c:crossBetween val="midCat"/>
        <c:dispUnits/>
      </c:val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8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17</xdr:row>
      <xdr:rowOff>152400</xdr:rowOff>
    </xdr:from>
    <xdr:to>
      <xdr:col>15</xdr:col>
      <xdr:colOff>57150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200400" y="3162300"/>
        <a:ext cx="6191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2943225</xdr:colOff>
      <xdr:row>5</xdr:row>
      <xdr:rowOff>142875</xdr:rowOff>
    </xdr:to>
    <xdr:pic>
      <xdr:nvPicPr>
        <xdr:cNvPr id="1" name="Picture 1" descr="ugcn logo"/>
        <xdr:cNvPicPr preferRelativeResize="1">
          <a:picLocks noChangeAspect="1"/>
        </xdr:cNvPicPr>
      </xdr:nvPicPr>
      <xdr:blipFill>
        <a:blip r:embed="rId1"/>
        <a:srcRect r="45703" b="76469"/>
        <a:stretch>
          <a:fillRect/>
        </a:stretch>
      </xdr:blipFill>
      <xdr:spPr>
        <a:xfrm>
          <a:off x="1209675" y="0"/>
          <a:ext cx="2943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5</xdr:col>
      <xdr:colOff>762000</xdr:colOff>
      <xdr:row>5</xdr:row>
      <xdr:rowOff>142875</xdr:rowOff>
    </xdr:to>
    <xdr:pic>
      <xdr:nvPicPr>
        <xdr:cNvPr id="2" name="Picture 2" descr="u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0"/>
          <a:ext cx="2800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0" sqref="A20"/>
    </sheetView>
  </sheetViews>
  <sheetFormatPr defaultColWidth="9.140625" defaultRowHeight="12.75"/>
  <cols>
    <col min="3" max="3" width="12.00390625" style="0" bestFit="1" customWidth="1"/>
  </cols>
  <sheetData>
    <row r="1" spans="2:5" ht="12.75">
      <c r="B1">
        <v>1.89</v>
      </c>
      <c r="C1">
        <v>-0.47</v>
      </c>
      <c r="E1" s="53">
        <f>Rekenmodule!D27</f>
        <v>7940</v>
      </c>
    </row>
    <row r="4" spans="1:4" ht="12.75">
      <c r="A4" t="s">
        <v>85</v>
      </c>
      <c r="B4" t="s">
        <v>86</v>
      </c>
      <c r="C4" t="s">
        <v>87</v>
      </c>
      <c r="D4">
        <v>305</v>
      </c>
    </row>
    <row r="5" spans="1:10" ht="15">
      <c r="A5">
        <v>50</v>
      </c>
      <c r="B5">
        <f>LN(A5)</f>
        <v>3.912023005428146</v>
      </c>
      <c r="C5">
        <f>$B$1+$C$1*B5</f>
        <v>0.05134918744877148</v>
      </c>
      <c r="D5">
        <f>C5*305</f>
        <v>15.661502171875302</v>
      </c>
      <c r="E5" s="54">
        <f>D5/$E$1*100</f>
        <v>0.19724813818482748</v>
      </c>
      <c r="F5">
        <v>0.18</v>
      </c>
      <c r="H5" s="52">
        <v>0</v>
      </c>
      <c r="J5" s="52">
        <v>0</v>
      </c>
    </row>
    <row r="6" spans="1:10" ht="15">
      <c r="A6">
        <v>75</v>
      </c>
      <c r="B6">
        <f aca="true" t="shared" si="0" ref="B6:B16">LN(A6)</f>
        <v>4.31748811353631</v>
      </c>
      <c r="C6">
        <f aca="true" t="shared" si="1" ref="C6:C16">$B$1+$C$1*B6</f>
        <v>-0.1392194133620659</v>
      </c>
      <c r="D6">
        <f aca="true" t="shared" si="2" ref="D6:D16">C6*305</f>
        <v>-42.4619210754301</v>
      </c>
      <c r="E6" s="54">
        <f aca="true" t="shared" si="3" ref="E6:E16">D6/$E$1*100</f>
        <v>-0.5347849001943337</v>
      </c>
      <c r="F6">
        <f>-E6</f>
        <v>0.5347849001943337</v>
      </c>
      <c r="H6" s="52">
        <v>0.02</v>
      </c>
      <c r="J6" s="52">
        <v>0.005</v>
      </c>
    </row>
    <row r="7" spans="1:10" ht="15">
      <c r="A7">
        <v>125</v>
      </c>
      <c r="B7">
        <f t="shared" si="0"/>
        <v>4.8283137373023015</v>
      </c>
      <c r="C7">
        <f t="shared" si="1"/>
        <v>-0.37930745653208153</v>
      </c>
      <c r="D7">
        <f t="shared" si="2"/>
        <v>-115.68877424228486</v>
      </c>
      <c r="E7" s="54">
        <f t="shared" si="3"/>
        <v>-1.4570374589708421</v>
      </c>
      <c r="F7">
        <f aca="true" t="shared" si="4" ref="F7:F16">-E7</f>
        <v>1.4570374589708421</v>
      </c>
      <c r="H7" s="52">
        <v>0.03</v>
      </c>
      <c r="J7" s="52">
        <v>0.014</v>
      </c>
    </row>
    <row r="8" spans="1:10" ht="15">
      <c r="A8">
        <v>175</v>
      </c>
      <c r="B8">
        <f t="shared" si="0"/>
        <v>5.1647859739235145</v>
      </c>
      <c r="C8">
        <f t="shared" si="1"/>
        <v>-0.5374494077440517</v>
      </c>
      <c r="D8">
        <f t="shared" si="2"/>
        <v>-163.92206936193577</v>
      </c>
      <c r="E8" s="54">
        <f t="shared" si="3"/>
        <v>-2.064509689696924</v>
      </c>
      <c r="F8">
        <f t="shared" si="4"/>
        <v>2.064509689696924</v>
      </c>
      <c r="H8" s="52">
        <v>0.04</v>
      </c>
      <c r="J8" s="52">
        <v>0.019</v>
      </c>
    </row>
    <row r="9" spans="1:10" ht="15">
      <c r="A9">
        <v>225</v>
      </c>
      <c r="B9">
        <f t="shared" si="0"/>
        <v>5.41610040220442</v>
      </c>
      <c r="C9">
        <f t="shared" si="1"/>
        <v>-0.6555671890360772</v>
      </c>
      <c r="D9">
        <f t="shared" si="2"/>
        <v>-199.94799265600355</v>
      </c>
      <c r="E9" s="54">
        <f t="shared" si="3"/>
        <v>-2.518236683324982</v>
      </c>
      <c r="F9">
        <f t="shared" si="4"/>
        <v>2.518236683324982</v>
      </c>
      <c r="H9" s="52">
        <v>0.05</v>
      </c>
      <c r="J9" s="52">
        <v>0.024</v>
      </c>
    </row>
    <row r="10" spans="1:10" ht="15">
      <c r="A10">
        <v>275</v>
      </c>
      <c r="B10">
        <f t="shared" si="0"/>
        <v>5.616771097666572</v>
      </c>
      <c r="C10">
        <f t="shared" si="1"/>
        <v>-0.7498824159032889</v>
      </c>
      <c r="D10">
        <f t="shared" si="2"/>
        <v>-228.7141368505031</v>
      </c>
      <c r="E10" s="54">
        <f t="shared" si="3"/>
        <v>-2.8805306908123818</v>
      </c>
      <c r="F10">
        <f t="shared" si="4"/>
        <v>2.8805306908123818</v>
      </c>
      <c r="H10" s="52">
        <v>0.07</v>
      </c>
      <c r="J10" s="52">
        <v>0.027</v>
      </c>
    </row>
    <row r="11" spans="1:10" ht="15">
      <c r="A11">
        <v>325</v>
      </c>
      <c r="B11">
        <f t="shared" si="0"/>
        <v>5.783825182329737</v>
      </c>
      <c r="C11">
        <f t="shared" si="1"/>
        <v>-0.8283978356949764</v>
      </c>
      <c r="D11">
        <f t="shared" si="2"/>
        <v>-252.6613398869678</v>
      </c>
      <c r="E11" s="54">
        <f t="shared" si="3"/>
        <v>-3.1821327441683604</v>
      </c>
      <c r="F11">
        <f t="shared" si="4"/>
        <v>3.1821327441683604</v>
      </c>
      <c r="H11" s="52">
        <v>0.08</v>
      </c>
      <c r="J11" s="52">
        <v>0.03</v>
      </c>
    </row>
    <row r="12" spans="1:10" ht="15">
      <c r="A12">
        <v>375</v>
      </c>
      <c r="B12">
        <f t="shared" si="0"/>
        <v>5.926926025970411</v>
      </c>
      <c r="C12">
        <f t="shared" si="1"/>
        <v>-0.8956552322060929</v>
      </c>
      <c r="D12">
        <f t="shared" si="2"/>
        <v>-273.17484582285834</v>
      </c>
      <c r="E12" s="54">
        <f t="shared" si="3"/>
        <v>-3.4404892421014903</v>
      </c>
      <c r="F12">
        <f t="shared" si="4"/>
        <v>3.4404892421014903</v>
      </c>
      <c r="H12" s="52">
        <v>0.11</v>
      </c>
      <c r="J12" s="52">
        <v>0.032</v>
      </c>
    </row>
    <row r="13" spans="1:10" ht="15">
      <c r="A13">
        <v>500</v>
      </c>
      <c r="B13">
        <f t="shared" si="0"/>
        <v>6.214608098422191</v>
      </c>
      <c r="C13">
        <f t="shared" si="1"/>
        <v>-1.03086580625843</v>
      </c>
      <c r="D13">
        <f t="shared" si="2"/>
        <v>-314.41407090882115</v>
      </c>
      <c r="E13" s="54">
        <f t="shared" si="3"/>
        <v>-3.9598749484738183</v>
      </c>
      <c r="F13">
        <f t="shared" si="4"/>
        <v>3.9598749484738183</v>
      </c>
      <c r="H13" s="52">
        <v>0.13</v>
      </c>
      <c r="J13" s="52">
        <v>0.037</v>
      </c>
    </row>
    <row r="14" spans="1:6" ht="12.75">
      <c r="A14">
        <v>1000</v>
      </c>
      <c r="B14">
        <f t="shared" si="0"/>
        <v>6.907755278982137</v>
      </c>
      <c r="C14">
        <f t="shared" si="1"/>
        <v>-1.3566449811216044</v>
      </c>
      <c r="D14">
        <f t="shared" si="2"/>
        <v>-413.7767192420893</v>
      </c>
      <c r="E14" s="54">
        <f t="shared" si="3"/>
        <v>-5.211293693225307</v>
      </c>
      <c r="F14">
        <f t="shared" si="4"/>
        <v>5.211293693225307</v>
      </c>
    </row>
    <row r="15" spans="1:6" ht="12.75">
      <c r="A15">
        <v>5000</v>
      </c>
      <c r="B15">
        <f t="shared" si="0"/>
        <v>8.517193191416238</v>
      </c>
      <c r="C15">
        <f t="shared" si="1"/>
        <v>-2.1130807999656325</v>
      </c>
      <c r="D15">
        <f t="shared" si="2"/>
        <v>-644.489643989518</v>
      </c>
      <c r="E15" s="54">
        <f t="shared" si="3"/>
        <v>-8.116998035132468</v>
      </c>
      <c r="F15">
        <f t="shared" si="4"/>
        <v>8.116998035132468</v>
      </c>
    </row>
    <row r="16" spans="1:6" ht="12.75">
      <c r="A16">
        <v>8000</v>
      </c>
      <c r="B16">
        <f t="shared" si="0"/>
        <v>8.987196820661973</v>
      </c>
      <c r="C16">
        <f t="shared" si="1"/>
        <v>-2.333982505711127</v>
      </c>
      <c r="D16">
        <f t="shared" si="2"/>
        <v>-711.8646642418937</v>
      </c>
      <c r="E16" s="54">
        <f t="shared" si="3"/>
        <v>-8.96554992747977</v>
      </c>
      <c r="F16">
        <f t="shared" si="4"/>
        <v>8.96554992747977</v>
      </c>
    </row>
    <row r="18" ht="12.75">
      <c r="E18" s="54"/>
    </row>
    <row r="19" spans="1:5" ht="12.75">
      <c r="A19">
        <f>FORECAST(Rekenmodule!D61,D21:D25,C21:C25)</f>
        <v>1.622533834586466</v>
      </c>
      <c r="E19" s="54"/>
    </row>
    <row r="20" spans="3:5" ht="12.75">
      <c r="C20" t="s">
        <v>88</v>
      </c>
      <c r="D20" t="s">
        <v>89</v>
      </c>
      <c r="E20" s="54"/>
    </row>
    <row r="21" spans="3:5" ht="12.75">
      <c r="C21">
        <v>75</v>
      </c>
      <c r="D21">
        <v>0.15</v>
      </c>
      <c r="E21" s="54"/>
    </row>
    <row r="22" spans="3:5" ht="12.75">
      <c r="C22">
        <v>150</v>
      </c>
      <c r="D22">
        <v>0.86</v>
      </c>
      <c r="E22" s="54"/>
    </row>
    <row r="23" spans="3:5" ht="12.75">
      <c r="C23">
        <v>225</v>
      </c>
      <c r="D23">
        <v>1.41</v>
      </c>
      <c r="E23" s="54"/>
    </row>
    <row r="24" spans="3:5" ht="12.75">
      <c r="C24">
        <v>325</v>
      </c>
      <c r="D24">
        <v>2.65</v>
      </c>
      <c r="E24" s="54"/>
    </row>
    <row r="25" spans="3:5" ht="12.75">
      <c r="C25">
        <v>600</v>
      </c>
      <c r="D25">
        <v>6.31</v>
      </c>
      <c r="E25" s="54"/>
    </row>
    <row r="26" spans="1:5" ht="12.75">
      <c r="A26" s="62">
        <f>A19/100</f>
        <v>0.01622533834586466</v>
      </c>
      <c r="E26" s="5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O163"/>
  <sheetViews>
    <sheetView showGridLines="0" tabSelected="1" zoomScalePageLayoutView="0" workbookViewId="0" topLeftCell="A1">
      <selection activeCell="D70" sqref="D70"/>
    </sheetView>
  </sheetViews>
  <sheetFormatPr defaultColWidth="9.140625" defaultRowHeight="12.75"/>
  <cols>
    <col min="1" max="1" width="18.140625" style="2" customWidth="1"/>
    <col min="2" max="2" width="45.57421875" style="0" customWidth="1"/>
    <col min="3" max="3" width="15.421875" style="0" customWidth="1"/>
    <col min="4" max="4" width="16.00390625" style="0" bestFit="1" customWidth="1"/>
    <col min="5" max="5" width="10.28125" style="1" bestFit="1" customWidth="1"/>
    <col min="6" max="6" width="25.00390625" style="0" customWidth="1"/>
    <col min="7" max="7" width="13.8515625" style="0" customWidth="1"/>
    <col min="8" max="8" width="16.00390625" style="0" bestFit="1" customWidth="1"/>
    <col min="9" max="12" width="10.28125" style="0" bestFit="1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</row>
    <row r="7" spans="1:15" ht="16.5">
      <c r="A7" s="4"/>
      <c r="B7" s="75" t="s">
        <v>27</v>
      </c>
      <c r="C7" s="75"/>
      <c r="D7" s="75"/>
      <c r="E7" s="75"/>
      <c r="F7" s="75"/>
      <c r="G7" s="51"/>
      <c r="H7" s="4"/>
      <c r="I7" s="4"/>
      <c r="J7" s="4"/>
      <c r="K7" s="4"/>
      <c r="L7" s="4"/>
      <c r="M7" s="2"/>
      <c r="N7" s="2"/>
      <c r="O7" s="2"/>
    </row>
    <row r="8" spans="1:15" ht="12.75">
      <c r="A8" s="4"/>
      <c r="B8" s="6"/>
      <c r="C8" s="6"/>
      <c r="D8" s="6"/>
      <c r="E8" s="6"/>
      <c r="F8" s="6"/>
      <c r="G8" s="6"/>
      <c r="H8" s="4"/>
      <c r="I8" s="4"/>
      <c r="J8" s="4"/>
      <c r="K8" s="4"/>
      <c r="L8" s="4"/>
      <c r="M8" s="2"/>
      <c r="N8" s="2"/>
      <c r="O8" s="2"/>
    </row>
    <row r="9" spans="1:15" ht="12.75">
      <c r="A9" s="4"/>
      <c r="B9" s="6"/>
      <c r="C9" s="6"/>
      <c r="D9" s="6"/>
      <c r="E9" s="6"/>
      <c r="F9" s="6"/>
      <c r="G9" s="6"/>
      <c r="H9" s="4"/>
      <c r="I9" s="4"/>
      <c r="J9" s="4"/>
      <c r="K9" s="4"/>
      <c r="L9" s="4"/>
      <c r="M9" s="2"/>
      <c r="N9" s="2"/>
      <c r="O9" s="2"/>
    </row>
    <row r="10" spans="1:15" ht="15">
      <c r="A10" s="4"/>
      <c r="B10" s="76" t="s">
        <v>58</v>
      </c>
      <c r="C10" s="76"/>
      <c r="D10" s="76"/>
      <c r="E10" s="76"/>
      <c r="F10" s="76"/>
      <c r="G10" s="7"/>
      <c r="H10" s="4"/>
      <c r="I10" s="4"/>
      <c r="J10" s="4"/>
      <c r="K10" s="4"/>
      <c r="L10" s="4"/>
      <c r="M10" s="2"/>
      <c r="N10" s="2"/>
      <c r="O10" s="2"/>
    </row>
    <row r="11" spans="1:15" ht="15">
      <c r="A11" s="4"/>
      <c r="B11" s="76" t="s">
        <v>35</v>
      </c>
      <c r="C11" s="76"/>
      <c r="D11" s="76"/>
      <c r="E11" s="76"/>
      <c r="F11" s="76"/>
      <c r="G11" s="7"/>
      <c r="H11" s="4"/>
      <c r="I11" s="4"/>
      <c r="J11" s="4"/>
      <c r="K11" s="4"/>
      <c r="L11" s="4"/>
      <c r="M11" s="2"/>
      <c r="N11" s="2"/>
      <c r="O11" s="2"/>
    </row>
    <row r="12" spans="1:15" ht="15">
      <c r="A12" s="4"/>
      <c r="B12" s="76" t="s">
        <v>36</v>
      </c>
      <c r="C12" s="76"/>
      <c r="D12" s="76"/>
      <c r="E12" s="76"/>
      <c r="F12" s="76"/>
      <c r="G12" s="7"/>
      <c r="H12" s="4"/>
      <c r="I12" s="4"/>
      <c r="J12" s="4"/>
      <c r="K12" s="4"/>
      <c r="L12" s="4"/>
      <c r="M12" s="2"/>
      <c r="N12" s="2"/>
      <c r="O12" s="2"/>
    </row>
    <row r="13" spans="1:15" ht="15">
      <c r="A13" s="4"/>
      <c r="B13" s="76" t="s">
        <v>59</v>
      </c>
      <c r="C13" s="76"/>
      <c r="D13" s="76"/>
      <c r="E13" s="76"/>
      <c r="F13" s="76"/>
      <c r="G13" s="7"/>
      <c r="H13" s="4"/>
      <c r="I13" s="4"/>
      <c r="J13" s="4"/>
      <c r="K13" s="4"/>
      <c r="L13" s="4"/>
      <c r="M13" s="2"/>
      <c r="N13" s="2"/>
      <c r="O13" s="2"/>
    </row>
    <row r="14" spans="1:15" ht="15" customHeight="1">
      <c r="A14" s="4"/>
      <c r="B14" s="76" t="s">
        <v>91</v>
      </c>
      <c r="C14" s="76"/>
      <c r="D14" s="76"/>
      <c r="E14" s="76"/>
      <c r="F14" s="76"/>
      <c r="G14" s="7"/>
      <c r="H14" s="4"/>
      <c r="I14" s="4"/>
      <c r="J14" s="4"/>
      <c r="K14" s="4"/>
      <c r="L14" s="4"/>
      <c r="M14" s="2"/>
      <c r="N14" s="2"/>
      <c r="O14" s="2"/>
    </row>
    <row r="15" spans="1:15" ht="15" customHeight="1">
      <c r="A15" s="4"/>
      <c r="B15" s="76" t="s">
        <v>60</v>
      </c>
      <c r="C15" s="76"/>
      <c r="D15" s="76"/>
      <c r="E15" s="76"/>
      <c r="F15" s="76"/>
      <c r="G15" s="7"/>
      <c r="H15" s="4"/>
      <c r="I15" s="4"/>
      <c r="J15" s="4"/>
      <c r="K15" s="4"/>
      <c r="L15" s="4"/>
      <c r="M15" s="2"/>
      <c r="N15" s="2"/>
      <c r="O15" s="2"/>
    </row>
    <row r="16" spans="1:15" ht="15" customHeight="1">
      <c r="A16" s="4"/>
      <c r="B16" s="7"/>
      <c r="C16" s="7"/>
      <c r="D16" s="7"/>
      <c r="E16" s="7"/>
      <c r="F16" s="7"/>
      <c r="G16" s="7"/>
      <c r="H16" s="4"/>
      <c r="I16" s="4"/>
      <c r="J16" s="4"/>
      <c r="K16" s="4"/>
      <c r="L16" s="4"/>
      <c r="M16" s="2"/>
      <c r="N16" s="2"/>
      <c r="O16" s="2"/>
    </row>
    <row r="17" spans="1:15" ht="15" customHeight="1">
      <c r="A17" s="4"/>
      <c r="B17" s="76" t="s">
        <v>83</v>
      </c>
      <c r="C17" s="76"/>
      <c r="D17" s="76"/>
      <c r="E17" s="76"/>
      <c r="F17" s="76"/>
      <c r="G17" s="7"/>
      <c r="H17" s="4"/>
      <c r="I17" s="4"/>
      <c r="J17" s="4"/>
      <c r="K17" s="4"/>
      <c r="L17" s="4"/>
      <c r="M17" s="2"/>
      <c r="N17" s="2"/>
      <c r="O17" s="2"/>
    </row>
    <row r="18" spans="1:15" ht="15" customHeight="1">
      <c r="A18" s="4"/>
      <c r="B18" s="76" t="s">
        <v>61</v>
      </c>
      <c r="C18" s="76"/>
      <c r="D18" s="76"/>
      <c r="E18" s="76"/>
      <c r="F18" s="76"/>
      <c r="G18" s="7"/>
      <c r="H18" s="4"/>
      <c r="I18" s="4"/>
      <c r="J18" s="4"/>
      <c r="K18" s="4"/>
      <c r="L18" s="4"/>
      <c r="M18" s="2"/>
      <c r="N18" s="2"/>
      <c r="O18" s="2"/>
    </row>
    <row r="19" spans="1:15" ht="15" customHeight="1">
      <c r="A19" s="4"/>
      <c r="B19" s="7"/>
      <c r="C19" s="7"/>
      <c r="D19" s="7"/>
      <c r="E19" s="7"/>
      <c r="F19" s="7"/>
      <c r="G19" s="7"/>
      <c r="H19" s="4"/>
      <c r="I19" s="4"/>
      <c r="J19" s="4"/>
      <c r="K19" s="4"/>
      <c r="L19" s="4"/>
      <c r="M19" s="2"/>
      <c r="N19" s="2"/>
      <c r="O19" s="2"/>
    </row>
    <row r="20" spans="1:15" ht="15" customHeight="1">
      <c r="A20" s="4"/>
      <c r="B20" s="7" t="s">
        <v>62</v>
      </c>
      <c r="C20" s="7"/>
      <c r="D20" s="47">
        <v>0</v>
      </c>
      <c r="E20" s="7"/>
      <c r="F20" s="7"/>
      <c r="G20" s="7"/>
      <c r="H20" s="4"/>
      <c r="I20" s="4"/>
      <c r="J20" s="4"/>
      <c r="K20" s="4"/>
      <c r="L20" s="4"/>
      <c r="M20" s="2"/>
      <c r="N20" s="2"/>
      <c r="O20" s="2"/>
    </row>
    <row r="21" spans="1:15" ht="15" customHeight="1">
      <c r="A21" s="4"/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2"/>
      <c r="N21" s="2"/>
      <c r="O21" s="2"/>
    </row>
    <row r="22" spans="1:15" ht="15">
      <c r="A22" s="4"/>
      <c r="B22" s="8" t="s">
        <v>5</v>
      </c>
      <c r="C22" s="6"/>
      <c r="D22" s="9" t="s">
        <v>42</v>
      </c>
      <c r="E22" s="9"/>
      <c r="F22" s="6"/>
      <c r="G22" s="6"/>
      <c r="H22" s="4"/>
      <c r="I22" s="4"/>
      <c r="J22" s="4"/>
      <c r="K22" s="4"/>
      <c r="L22" s="4"/>
      <c r="M22" s="2"/>
      <c r="N22" s="2"/>
      <c r="O22" s="2"/>
    </row>
    <row r="23" spans="1:15" ht="12.75">
      <c r="A23" s="4"/>
      <c r="B23" s="8"/>
      <c r="C23" s="6"/>
      <c r="D23" s="8"/>
      <c r="E23" s="8"/>
      <c r="F23" s="6"/>
      <c r="G23" s="6"/>
      <c r="H23" s="4"/>
      <c r="I23" s="4"/>
      <c r="J23" s="4"/>
      <c r="K23" s="4"/>
      <c r="L23" s="4"/>
      <c r="M23" s="2"/>
      <c r="N23" s="2"/>
      <c r="O23" s="2"/>
    </row>
    <row r="24" spans="1:15" ht="15">
      <c r="A24" s="4"/>
      <c r="B24" s="9" t="s">
        <v>20</v>
      </c>
      <c r="C24" s="6"/>
      <c r="D24" s="8"/>
      <c r="E24" s="8"/>
      <c r="F24" s="6"/>
      <c r="G24" s="6"/>
      <c r="H24" s="4"/>
      <c r="I24" s="4"/>
      <c r="J24" s="4"/>
      <c r="K24" s="4"/>
      <c r="L24" s="4"/>
      <c r="M24" s="2"/>
      <c r="N24" s="2"/>
      <c r="O24" s="2"/>
    </row>
    <row r="25" spans="1:15" ht="14.25">
      <c r="A25" s="4"/>
      <c r="B25" s="10"/>
      <c r="C25" s="6"/>
      <c r="D25" s="6"/>
      <c r="E25" s="6"/>
      <c r="F25" s="27"/>
      <c r="G25" s="27"/>
      <c r="H25" s="28"/>
      <c r="I25" s="28"/>
      <c r="J25" s="28"/>
      <c r="K25" s="28"/>
      <c r="L25" s="28"/>
      <c r="M25" s="2"/>
      <c r="N25" s="2"/>
      <c r="O25" s="2"/>
    </row>
    <row r="26" spans="1:15" ht="14.25">
      <c r="A26" s="4"/>
      <c r="B26" s="10" t="s">
        <v>6</v>
      </c>
      <c r="C26" s="11"/>
      <c r="D26" s="35">
        <v>80</v>
      </c>
      <c r="E26" s="11"/>
      <c r="F26" s="29"/>
      <c r="G26" s="61"/>
      <c r="H26" s="64"/>
      <c r="I26" s="28"/>
      <c r="J26" s="28"/>
      <c r="K26" s="28"/>
      <c r="L26" s="28"/>
      <c r="M26" s="2"/>
      <c r="N26" s="2"/>
      <c r="O26" s="2"/>
    </row>
    <row r="27" spans="1:15" ht="14.25">
      <c r="A27" s="4"/>
      <c r="B27" s="10" t="s">
        <v>7</v>
      </c>
      <c r="C27" s="11"/>
      <c r="D27" s="35">
        <v>7940</v>
      </c>
      <c r="E27" s="12"/>
      <c r="F27" s="29"/>
      <c r="G27" s="29"/>
      <c r="H27" s="28"/>
      <c r="I27" s="28"/>
      <c r="J27" s="28"/>
      <c r="K27" s="28"/>
      <c r="L27" s="28"/>
      <c r="M27" s="2"/>
      <c r="N27" s="2"/>
      <c r="O27" s="2"/>
    </row>
    <row r="28" spans="1:15" ht="15">
      <c r="A28" s="4"/>
      <c r="B28" s="10" t="s">
        <v>30</v>
      </c>
      <c r="C28" s="11" t="s">
        <v>8</v>
      </c>
      <c r="D28" s="35">
        <v>20</v>
      </c>
      <c r="E28" s="13" t="s">
        <v>31</v>
      </c>
      <c r="F28" s="27"/>
      <c r="G28" s="63"/>
      <c r="H28" s="28"/>
      <c r="I28" s="28"/>
      <c r="J28" s="28"/>
      <c r="K28" s="28"/>
      <c r="L28" s="28"/>
      <c r="M28" s="2"/>
      <c r="N28" s="2"/>
      <c r="O28" s="2"/>
    </row>
    <row r="29" spans="1:15" ht="15">
      <c r="A29" s="4"/>
      <c r="B29" s="10"/>
      <c r="C29" s="11"/>
      <c r="D29" s="36"/>
      <c r="E29" s="14"/>
      <c r="F29" s="30"/>
      <c r="G29" s="30"/>
      <c r="H29" s="28"/>
      <c r="I29" s="28"/>
      <c r="J29" s="28"/>
      <c r="K29" s="28"/>
      <c r="L29" s="28"/>
      <c r="M29" s="2"/>
      <c r="N29" s="2"/>
      <c r="O29" s="2"/>
    </row>
    <row r="30" spans="1:15" ht="15">
      <c r="A30" s="4"/>
      <c r="B30" s="10" t="s">
        <v>32</v>
      </c>
      <c r="C30" s="11"/>
      <c r="D30" s="36"/>
      <c r="E30" s="14"/>
      <c r="F30" s="30"/>
      <c r="G30" s="30"/>
      <c r="H30" s="28"/>
      <c r="I30" s="28"/>
      <c r="J30" s="28"/>
      <c r="K30" s="28"/>
      <c r="L30" s="28"/>
      <c r="M30" s="2"/>
      <c r="N30" s="2"/>
      <c r="O30" s="2"/>
    </row>
    <row r="31" spans="1:15" ht="15">
      <c r="A31" s="4"/>
      <c r="B31" s="10" t="s">
        <v>92</v>
      </c>
      <c r="C31" s="11"/>
      <c r="D31" s="36"/>
      <c r="E31" s="14"/>
      <c r="F31" s="30"/>
      <c r="G31" s="30"/>
      <c r="H31" s="28"/>
      <c r="I31" s="28"/>
      <c r="J31" s="28"/>
      <c r="K31" s="28"/>
      <c r="L31" s="28"/>
      <c r="M31" s="2"/>
      <c r="N31" s="2"/>
      <c r="O31" s="2"/>
    </row>
    <row r="32" spans="1:15" ht="15">
      <c r="A32" s="4"/>
      <c r="B32" s="10" t="s">
        <v>93</v>
      </c>
      <c r="C32" s="11"/>
      <c r="D32" s="36"/>
      <c r="E32" s="14"/>
      <c r="F32" s="30"/>
      <c r="G32" s="30"/>
      <c r="H32" s="28"/>
      <c r="I32" s="28"/>
      <c r="J32" s="28"/>
      <c r="K32" s="28"/>
      <c r="L32" s="28"/>
      <c r="M32" s="2"/>
      <c r="N32" s="2"/>
      <c r="O32" s="2"/>
    </row>
    <row r="33" spans="1:15" ht="15">
      <c r="A33" s="4"/>
      <c r="B33" s="6"/>
      <c r="C33" s="11" t="s">
        <v>0</v>
      </c>
      <c r="D33" s="35">
        <f>0.2*D28</f>
        <v>4</v>
      </c>
      <c r="E33" s="13" t="s">
        <v>31</v>
      </c>
      <c r="F33" s="27"/>
      <c r="G33" s="27"/>
      <c r="H33" s="28"/>
      <c r="I33" s="28"/>
      <c r="J33" s="28"/>
      <c r="K33" s="28"/>
      <c r="L33" s="28"/>
      <c r="M33" s="2"/>
      <c r="N33" s="2"/>
      <c r="O33" s="2"/>
    </row>
    <row r="34" spans="1:15" ht="15">
      <c r="A34" s="4"/>
      <c r="B34" s="10"/>
      <c r="C34" s="11" t="s">
        <v>1</v>
      </c>
      <c r="D34" s="35">
        <f>0*D28</f>
        <v>0</v>
      </c>
      <c r="E34" s="13" t="s">
        <v>31</v>
      </c>
      <c r="F34" s="27"/>
      <c r="G34" s="27"/>
      <c r="H34" s="28"/>
      <c r="I34" s="28"/>
      <c r="J34" s="28"/>
      <c r="K34" s="28"/>
      <c r="L34" s="28"/>
      <c r="M34" s="2"/>
      <c r="N34" s="2"/>
      <c r="O34" s="2"/>
    </row>
    <row r="35" spans="1:15" ht="15">
      <c r="A35" s="4"/>
      <c r="B35" s="10"/>
      <c r="C35" s="11" t="s">
        <v>2</v>
      </c>
      <c r="D35" s="35">
        <f>0.15*D28</f>
        <v>3</v>
      </c>
      <c r="E35" s="13" t="s">
        <v>31</v>
      </c>
      <c r="F35" s="27"/>
      <c r="G35" s="27"/>
      <c r="H35" s="28"/>
      <c r="I35" s="28"/>
      <c r="J35" s="28"/>
      <c r="K35" s="28"/>
      <c r="L35" s="28"/>
      <c r="M35" s="2"/>
      <c r="N35" s="2"/>
      <c r="O35" s="2"/>
    </row>
    <row r="36" spans="1:15" ht="15">
      <c r="A36" s="4"/>
      <c r="B36" s="10"/>
      <c r="C36" s="11" t="s">
        <v>3</v>
      </c>
      <c r="D36" s="35">
        <f>0.2*D28</f>
        <v>4</v>
      </c>
      <c r="E36" s="13" t="s">
        <v>31</v>
      </c>
      <c r="F36" s="27"/>
      <c r="G36" s="27"/>
      <c r="H36" s="28"/>
      <c r="I36" s="28"/>
      <c r="J36" s="28"/>
      <c r="K36" s="28"/>
      <c r="L36" s="28"/>
      <c r="M36" s="2"/>
      <c r="N36" s="2"/>
      <c r="O36" s="2"/>
    </row>
    <row r="37" spans="1:15" ht="15">
      <c r="A37" s="4"/>
      <c r="B37" s="10"/>
      <c r="C37" s="11" t="s">
        <v>4</v>
      </c>
      <c r="D37" s="35">
        <f>0.3*D28</f>
        <v>6</v>
      </c>
      <c r="E37" s="13" t="s">
        <v>31</v>
      </c>
      <c r="F37" s="27"/>
      <c r="G37" s="27"/>
      <c r="H37" s="28"/>
      <c r="I37" s="28"/>
      <c r="J37" s="28"/>
      <c r="K37" s="28"/>
      <c r="L37" s="28"/>
      <c r="M37" s="2"/>
      <c r="N37" s="2"/>
      <c r="O37" s="2"/>
    </row>
    <row r="38" spans="1:15" ht="15">
      <c r="A38" s="4"/>
      <c r="B38" s="10"/>
      <c r="C38" s="11" t="s">
        <v>9</v>
      </c>
      <c r="D38" s="35">
        <f>0.15*D28</f>
        <v>3</v>
      </c>
      <c r="E38" s="13" t="s">
        <v>31</v>
      </c>
      <c r="F38" s="27"/>
      <c r="G38" s="27"/>
      <c r="H38" s="28"/>
      <c r="I38" s="28"/>
      <c r="J38" s="28"/>
      <c r="K38" s="28"/>
      <c r="L38" s="28"/>
      <c r="M38" s="2"/>
      <c r="N38" s="2"/>
      <c r="O38" s="2"/>
    </row>
    <row r="39" spans="1:15" ht="15">
      <c r="A39" s="4"/>
      <c r="B39" s="10"/>
      <c r="C39" s="11"/>
      <c r="D39" s="36"/>
      <c r="E39" s="14"/>
      <c r="F39" s="30"/>
      <c r="G39" s="30"/>
      <c r="H39" s="28"/>
      <c r="I39" s="28"/>
      <c r="J39" s="28"/>
      <c r="K39" s="28"/>
      <c r="L39" s="28"/>
      <c r="M39" s="2"/>
      <c r="N39" s="2"/>
      <c r="O39" s="2"/>
    </row>
    <row r="40" spans="1:15" ht="15">
      <c r="A40" s="4"/>
      <c r="B40" s="10" t="s">
        <v>77</v>
      </c>
      <c r="C40" s="11"/>
      <c r="D40" s="36"/>
      <c r="E40" s="14"/>
      <c r="F40" s="30"/>
      <c r="G40" s="30"/>
      <c r="H40" s="28"/>
      <c r="I40" s="28"/>
      <c r="J40" s="28"/>
      <c r="K40" s="28"/>
      <c r="L40" s="28"/>
      <c r="M40" s="2"/>
      <c r="N40" s="2"/>
      <c r="O40" s="2"/>
    </row>
    <row r="41" spans="1:15" ht="15">
      <c r="A41" s="4"/>
      <c r="B41" s="10" t="s">
        <v>78</v>
      </c>
      <c r="C41" s="11"/>
      <c r="D41" s="36"/>
      <c r="E41" s="14"/>
      <c r="F41" s="30"/>
      <c r="G41" s="30"/>
      <c r="H41" s="28"/>
      <c r="I41" s="28"/>
      <c r="J41" s="28"/>
      <c r="K41" s="28"/>
      <c r="L41" s="28"/>
      <c r="M41" s="2"/>
      <c r="N41" s="2"/>
      <c r="O41" s="2"/>
    </row>
    <row r="42" spans="1:15" ht="14.25">
      <c r="A42" s="4"/>
      <c r="B42" s="11" t="s">
        <v>79</v>
      </c>
      <c r="C42" s="11"/>
      <c r="D42" s="36"/>
      <c r="E42" s="14"/>
      <c r="F42" s="31"/>
      <c r="G42" s="31"/>
      <c r="H42" s="28"/>
      <c r="I42" s="28"/>
      <c r="J42" s="28"/>
      <c r="K42" s="28"/>
      <c r="L42" s="28"/>
      <c r="M42" s="2"/>
      <c r="N42" s="2"/>
      <c r="O42" s="2"/>
    </row>
    <row r="43" spans="1:15" ht="15">
      <c r="A43" s="4"/>
      <c r="B43" s="10"/>
      <c r="C43" s="11"/>
      <c r="D43" s="36"/>
      <c r="E43" s="16"/>
      <c r="F43" s="27"/>
      <c r="G43" s="27"/>
      <c r="H43" s="28"/>
      <c r="I43" s="28"/>
      <c r="J43" s="28"/>
      <c r="K43" s="28"/>
      <c r="L43" s="28"/>
      <c r="M43" s="2"/>
      <c r="N43" s="2"/>
      <c r="O43" s="2"/>
    </row>
    <row r="44" spans="1:15" ht="15">
      <c r="A44" s="4"/>
      <c r="B44" s="10" t="s">
        <v>75</v>
      </c>
      <c r="C44" s="11"/>
      <c r="D44" s="35">
        <f>0.58*D28</f>
        <v>11.6</v>
      </c>
      <c r="E44" s="15" t="s">
        <v>31</v>
      </c>
      <c r="F44" s="34">
        <f>0.58*D28</f>
        <v>11.6</v>
      </c>
      <c r="G44" s="34"/>
      <c r="H44" s="28"/>
      <c r="I44" s="28"/>
      <c r="J44" s="28"/>
      <c r="K44" s="28"/>
      <c r="L44" s="28"/>
      <c r="M44" s="2"/>
      <c r="N44" s="2"/>
      <c r="O44" s="2"/>
    </row>
    <row r="45" spans="1:15" ht="15">
      <c r="A45" s="4"/>
      <c r="B45" s="10" t="s">
        <v>76</v>
      </c>
      <c r="C45" s="11"/>
      <c r="D45" s="35">
        <f>D28-D44</f>
        <v>8.4</v>
      </c>
      <c r="E45" s="15" t="s">
        <v>31</v>
      </c>
      <c r="F45" s="27"/>
      <c r="G45" s="27"/>
      <c r="H45" s="28"/>
      <c r="I45" s="28"/>
      <c r="J45" s="28"/>
      <c r="K45" s="28"/>
      <c r="L45" s="28"/>
      <c r="M45" s="2"/>
      <c r="N45" s="2"/>
      <c r="O45" s="2"/>
    </row>
    <row r="46" spans="1:15" ht="15">
      <c r="A46" s="4"/>
      <c r="B46" s="10"/>
      <c r="C46" s="11"/>
      <c r="D46" s="36"/>
      <c r="E46" s="16"/>
      <c r="F46" s="27"/>
      <c r="G46" s="27"/>
      <c r="H46" s="28"/>
      <c r="I46" s="28"/>
      <c r="J46" s="28"/>
      <c r="K46" s="28"/>
      <c r="L46" s="28"/>
      <c r="M46" s="2"/>
      <c r="N46" s="2"/>
      <c r="O46" s="2"/>
    </row>
    <row r="47" spans="1:15" ht="15">
      <c r="A47" s="4"/>
      <c r="B47" s="10"/>
      <c r="C47" s="11"/>
      <c r="D47" s="36"/>
      <c r="E47" s="16"/>
      <c r="F47" s="27"/>
      <c r="G47" s="27"/>
      <c r="H47" s="28"/>
      <c r="I47" s="28"/>
      <c r="J47" s="28"/>
      <c r="K47" s="28"/>
      <c r="L47" s="28"/>
      <c r="M47" s="2"/>
      <c r="N47" s="2"/>
      <c r="O47" s="2"/>
    </row>
    <row r="48" spans="1:15" ht="15">
      <c r="A48" s="4"/>
      <c r="B48" s="10"/>
      <c r="C48" s="11"/>
      <c r="D48" s="36"/>
      <c r="E48" s="16"/>
      <c r="F48" s="31"/>
      <c r="G48" s="31"/>
      <c r="H48" s="28"/>
      <c r="I48" s="28"/>
      <c r="J48" s="28"/>
      <c r="K48" s="28"/>
      <c r="L48" s="28"/>
      <c r="M48" s="2"/>
      <c r="N48" s="2"/>
      <c r="O48" s="2"/>
    </row>
    <row r="49" spans="1:15" ht="15">
      <c r="A49" s="4"/>
      <c r="B49" s="10" t="s">
        <v>10</v>
      </c>
      <c r="C49" s="11"/>
      <c r="D49" s="37">
        <v>0.05</v>
      </c>
      <c r="E49" s="15" t="s">
        <v>31</v>
      </c>
      <c r="F49" s="31"/>
      <c r="G49" s="31"/>
      <c r="H49" s="28"/>
      <c r="I49" s="28"/>
      <c r="J49" s="28"/>
      <c r="K49" s="28"/>
      <c r="L49" s="28"/>
      <c r="M49" s="2"/>
      <c r="N49" s="2"/>
      <c r="O49" s="2"/>
    </row>
    <row r="50" spans="1:15" ht="15">
      <c r="A50" s="4"/>
      <c r="B50" s="10" t="s">
        <v>24</v>
      </c>
      <c r="C50" s="11"/>
      <c r="D50" s="38">
        <v>0.2</v>
      </c>
      <c r="E50" s="15" t="s">
        <v>31</v>
      </c>
      <c r="F50" s="31"/>
      <c r="G50" s="31"/>
      <c r="H50" s="28"/>
      <c r="I50" s="28"/>
      <c r="J50" s="28"/>
      <c r="K50" s="28"/>
      <c r="L50" s="28"/>
      <c r="M50" s="2"/>
      <c r="N50" s="2"/>
      <c r="O50" s="2"/>
    </row>
    <row r="51" spans="1:15" ht="15">
      <c r="A51" s="4"/>
      <c r="B51" s="10" t="s">
        <v>11</v>
      </c>
      <c r="C51" s="11"/>
      <c r="D51" s="35">
        <f>0.05*D28</f>
        <v>1</v>
      </c>
      <c r="E51" s="15" t="s">
        <v>31</v>
      </c>
      <c r="F51" s="31"/>
      <c r="G51" s="31"/>
      <c r="H51" s="28"/>
      <c r="I51" s="28"/>
      <c r="J51" s="28"/>
      <c r="K51" s="28"/>
      <c r="L51" s="28"/>
      <c r="M51" s="2"/>
      <c r="N51" s="2"/>
      <c r="O51" s="2"/>
    </row>
    <row r="52" spans="1:15" ht="15">
      <c r="A52" s="4"/>
      <c r="B52" s="10" t="s">
        <v>12</v>
      </c>
      <c r="C52" s="11"/>
      <c r="D52" s="35">
        <v>22</v>
      </c>
      <c r="E52" s="15" t="s">
        <v>31</v>
      </c>
      <c r="F52" s="31"/>
      <c r="G52" s="31"/>
      <c r="H52" s="28"/>
      <c r="I52" s="28"/>
      <c r="J52" s="28"/>
      <c r="K52" s="28"/>
      <c r="L52" s="28"/>
      <c r="M52" s="2"/>
      <c r="N52" s="2"/>
      <c r="O52" s="2"/>
    </row>
    <row r="53" spans="1:15" ht="15">
      <c r="A53" s="4"/>
      <c r="B53" s="10" t="s">
        <v>13</v>
      </c>
      <c r="C53" s="11"/>
      <c r="D53" s="35">
        <v>45</v>
      </c>
      <c r="E53" s="15" t="s">
        <v>31</v>
      </c>
      <c r="F53" s="31"/>
      <c r="G53" s="31"/>
      <c r="H53" s="28"/>
      <c r="I53" s="28"/>
      <c r="J53" s="28"/>
      <c r="K53" s="28"/>
      <c r="L53" s="28"/>
      <c r="M53" s="2"/>
      <c r="N53" s="2"/>
      <c r="O53" s="2"/>
    </row>
    <row r="54" spans="1:15" ht="15">
      <c r="A54" s="4"/>
      <c r="B54" s="10" t="s">
        <v>14</v>
      </c>
      <c r="C54" s="11"/>
      <c r="D54" s="35">
        <v>25</v>
      </c>
      <c r="E54" s="15" t="s">
        <v>31</v>
      </c>
      <c r="F54" s="31"/>
      <c r="G54" s="31"/>
      <c r="H54" s="28"/>
      <c r="I54" s="28"/>
      <c r="J54" s="28"/>
      <c r="K54" s="28"/>
      <c r="L54" s="28"/>
      <c r="M54" s="2"/>
      <c r="N54" s="2"/>
      <c r="O54" s="2"/>
    </row>
    <row r="55" spans="1:15" ht="15">
      <c r="A55" s="4"/>
      <c r="B55" s="10" t="s">
        <v>15</v>
      </c>
      <c r="C55" s="11"/>
      <c r="D55" s="35">
        <v>6</v>
      </c>
      <c r="E55" s="15" t="s">
        <v>31</v>
      </c>
      <c r="F55" s="31"/>
      <c r="G55" s="31"/>
      <c r="H55" s="28"/>
      <c r="I55" s="28"/>
      <c r="J55" s="28"/>
      <c r="K55" s="28"/>
      <c r="L55" s="28"/>
      <c r="M55" s="2"/>
      <c r="N55" s="2"/>
      <c r="O55" s="2"/>
    </row>
    <row r="56" spans="1:15" ht="15">
      <c r="A56" s="4"/>
      <c r="B56" s="10" t="s">
        <v>16</v>
      </c>
      <c r="C56" s="11"/>
      <c r="D56" s="35">
        <v>18</v>
      </c>
      <c r="E56" s="15" t="s">
        <v>31</v>
      </c>
      <c r="F56" s="31"/>
      <c r="G56" s="31"/>
      <c r="H56" s="28"/>
      <c r="I56" s="28"/>
      <c r="J56" s="28"/>
      <c r="K56" s="28"/>
      <c r="L56" s="28"/>
      <c r="M56" s="2"/>
      <c r="N56" s="2"/>
      <c r="O56" s="2"/>
    </row>
    <row r="57" spans="1:15" ht="15">
      <c r="A57" s="4"/>
      <c r="B57" s="10" t="s">
        <v>33</v>
      </c>
      <c r="C57" s="11"/>
      <c r="D57" s="38">
        <v>0.05</v>
      </c>
      <c r="E57" s="15" t="s">
        <v>31</v>
      </c>
      <c r="F57" s="31"/>
      <c r="G57" s="31"/>
      <c r="H57" s="28"/>
      <c r="I57" s="28"/>
      <c r="J57" s="28"/>
      <c r="K57" s="28"/>
      <c r="L57" s="28"/>
      <c r="M57" s="2"/>
      <c r="N57" s="2"/>
      <c r="O57" s="2"/>
    </row>
    <row r="58" spans="1:15" ht="14.25">
      <c r="A58" s="4"/>
      <c r="B58" s="10"/>
      <c r="C58" s="11"/>
      <c r="D58" s="36"/>
      <c r="E58" s="11"/>
      <c r="F58" s="32"/>
      <c r="G58" s="32"/>
      <c r="H58" s="28"/>
      <c r="I58" s="28"/>
      <c r="J58" s="28"/>
      <c r="K58" s="28"/>
      <c r="L58" s="28"/>
      <c r="M58" s="2"/>
      <c r="N58" s="2"/>
      <c r="O58" s="2"/>
    </row>
    <row r="59" spans="1:15" ht="15">
      <c r="A59" s="4"/>
      <c r="B59" s="9" t="s">
        <v>39</v>
      </c>
      <c r="C59" s="11"/>
      <c r="D59" s="36"/>
      <c r="E59" s="11"/>
      <c r="F59" s="32"/>
      <c r="G59" s="32"/>
      <c r="H59" s="28"/>
      <c r="I59" s="28"/>
      <c r="J59" s="28"/>
      <c r="K59" s="28"/>
      <c r="L59" s="28"/>
      <c r="M59" s="2"/>
      <c r="N59" s="2"/>
      <c r="O59" s="2"/>
    </row>
    <row r="60" spans="1:15" ht="15">
      <c r="A60" s="4"/>
      <c r="B60" s="9"/>
      <c r="C60" s="11"/>
      <c r="D60" s="36"/>
      <c r="E60" s="11"/>
      <c r="F60" s="32"/>
      <c r="G60" s="32"/>
      <c r="H60" s="28"/>
      <c r="I60" s="28"/>
      <c r="J60" s="28"/>
      <c r="K60" s="28"/>
      <c r="L60" s="28"/>
      <c r="M60" s="2"/>
      <c r="N60" s="2"/>
      <c r="O60" s="2"/>
    </row>
    <row r="61" spans="1:15" ht="15">
      <c r="A61" s="4"/>
      <c r="B61" s="10" t="s">
        <v>38</v>
      </c>
      <c r="C61" s="11"/>
      <c r="D61" s="35">
        <v>220</v>
      </c>
      <c r="E61" s="15" t="s">
        <v>31</v>
      </c>
      <c r="F61" s="32"/>
      <c r="G61" s="32"/>
      <c r="H61" s="28"/>
      <c r="I61" s="28"/>
      <c r="J61" s="28"/>
      <c r="K61" s="28"/>
      <c r="L61" s="28"/>
      <c r="M61" s="2"/>
      <c r="N61" s="2"/>
      <c r="O61" s="2"/>
    </row>
    <row r="62" spans="1:15" ht="15">
      <c r="A62" s="4"/>
      <c r="B62" s="10"/>
      <c r="C62" s="11"/>
      <c r="D62" s="36"/>
      <c r="E62" s="16"/>
      <c r="F62" s="32"/>
      <c r="G62" s="32"/>
      <c r="H62" s="28"/>
      <c r="I62" s="28"/>
      <c r="J62" s="28"/>
      <c r="K62" s="28"/>
      <c r="L62" s="28"/>
      <c r="M62" s="2"/>
      <c r="N62" s="2"/>
      <c r="O62" s="2"/>
    </row>
    <row r="63" spans="1:15" ht="15">
      <c r="A63" s="4"/>
      <c r="B63" s="10" t="s">
        <v>37</v>
      </c>
      <c r="C63" s="11"/>
      <c r="D63" s="36"/>
      <c r="E63" s="16"/>
      <c r="F63" s="32"/>
      <c r="G63" s="32"/>
      <c r="H63" s="28"/>
      <c r="I63" s="28"/>
      <c r="J63" s="28"/>
      <c r="K63" s="28"/>
      <c r="L63" s="28"/>
      <c r="M63" s="2"/>
      <c r="N63" s="2"/>
      <c r="O63" s="2"/>
    </row>
    <row r="64" spans="1:15" ht="15">
      <c r="A64" s="4"/>
      <c r="B64" s="10" t="s">
        <v>56</v>
      </c>
      <c r="C64" s="11"/>
      <c r="D64" s="36"/>
      <c r="E64" s="16"/>
      <c r="F64" s="32"/>
      <c r="G64" s="32"/>
      <c r="H64" s="28"/>
      <c r="I64" s="28"/>
      <c r="J64" s="28"/>
      <c r="K64" s="28"/>
      <c r="L64" s="28"/>
      <c r="M64" s="2"/>
      <c r="N64" s="2"/>
      <c r="O64" s="2"/>
    </row>
    <row r="65" spans="1:15" ht="15">
      <c r="A65" s="4"/>
      <c r="B65" s="10" t="s">
        <v>57</v>
      </c>
      <c r="C65" s="11"/>
      <c r="D65" s="36"/>
      <c r="E65" s="16"/>
      <c r="F65" s="32"/>
      <c r="G65" s="32"/>
      <c r="H65" s="28"/>
      <c r="I65" s="28"/>
      <c r="J65" s="28"/>
      <c r="K65" s="28"/>
      <c r="L65" s="28"/>
      <c r="M65" s="2"/>
      <c r="N65" s="2"/>
      <c r="O65" s="2"/>
    </row>
    <row r="66" spans="1:15" ht="15">
      <c r="A66" s="4"/>
      <c r="B66" s="10"/>
      <c r="C66" s="11"/>
      <c r="D66" s="36"/>
      <c r="E66" s="16"/>
      <c r="F66" s="32"/>
      <c r="G66" s="32"/>
      <c r="H66" s="28"/>
      <c r="I66" s="28"/>
      <c r="J66" s="28"/>
      <c r="K66" s="28"/>
      <c r="L66" s="28"/>
      <c r="M66" s="2"/>
      <c r="N66" s="2"/>
      <c r="O66" s="2"/>
    </row>
    <row r="67" spans="1:15" ht="15.75">
      <c r="A67" s="4"/>
      <c r="B67" s="9"/>
      <c r="C67" s="6"/>
      <c r="D67" s="39" t="s">
        <v>42</v>
      </c>
      <c r="E67" s="17"/>
      <c r="F67" s="33"/>
      <c r="G67" s="33"/>
      <c r="H67" s="77" t="s">
        <v>43</v>
      </c>
      <c r="I67" s="77"/>
      <c r="J67" s="77"/>
      <c r="K67" s="77"/>
      <c r="L67" s="77"/>
      <c r="M67" s="2"/>
      <c r="N67" s="2"/>
      <c r="O67" s="2"/>
    </row>
    <row r="68" spans="1:15" ht="31.5">
      <c r="A68" s="4"/>
      <c r="B68" s="10"/>
      <c r="C68" s="6"/>
      <c r="D68" s="19" t="s">
        <v>17</v>
      </c>
      <c r="E68" s="6"/>
      <c r="F68" s="66"/>
      <c r="G68" s="66" t="s">
        <v>84</v>
      </c>
      <c r="H68" s="65" t="s">
        <v>44</v>
      </c>
      <c r="I68" s="65" t="s">
        <v>45</v>
      </c>
      <c r="J68" s="65" t="s">
        <v>46</v>
      </c>
      <c r="K68" s="65" t="s">
        <v>47</v>
      </c>
      <c r="L68" s="65" t="s">
        <v>48</v>
      </c>
      <c r="M68" s="2"/>
      <c r="N68" s="2"/>
      <c r="O68" s="2"/>
    </row>
    <row r="69" spans="1:15" ht="15.75">
      <c r="A69" s="4"/>
      <c r="B69" s="10" t="s">
        <v>28</v>
      </c>
      <c r="C69" s="6"/>
      <c r="D69" s="40">
        <f>ROUND(IF($D$61&lt;=100,$D$26*H69,IF(AND($D$61&gt;100,$D$61&lt;=200),$D$26*I69,IF(AND($D$61&gt;200,$D$61&lt;=250),$D$26*J69,IF(AND($D$61&gt;250,D61&lt;400),$D$26*K69,IF($D$61&gt;=400,$D$26*L69))))),0)</f>
        <v>23</v>
      </c>
      <c r="E69" s="11"/>
      <c r="F69" s="67">
        <v>0</v>
      </c>
      <c r="G69" s="67"/>
      <c r="H69" s="69">
        <v>0.8</v>
      </c>
      <c r="I69" s="69">
        <v>0.32</v>
      </c>
      <c r="J69" s="69">
        <v>0.29</v>
      </c>
      <c r="K69" s="69">
        <v>0.16</v>
      </c>
      <c r="L69" s="69">
        <v>0</v>
      </c>
      <c r="M69" s="2"/>
      <c r="N69" s="2"/>
      <c r="O69" s="2"/>
    </row>
    <row r="70" spans="1:15" ht="15.75">
      <c r="A70" s="4"/>
      <c r="B70" s="10" t="s">
        <v>29</v>
      </c>
      <c r="C70" s="6"/>
      <c r="D70" s="40">
        <f>ROUND(IF($D$61&lt;=100,$D$26*H70,IF(AND($D$61&gt;100,$D$61&lt;=200),$D$26*I70,IF(AND($D$61&gt;200,$D$61&lt;=250),$D$26*J70,IF(AND($D$61&gt;250,D61&lt;400),$D$26*K70,IF($D$61&gt;=400,$D$26*L70))))),0)</f>
        <v>24</v>
      </c>
      <c r="E70" s="11"/>
      <c r="F70" s="67">
        <v>0.005</v>
      </c>
      <c r="G70" s="67"/>
      <c r="H70" s="69">
        <v>0.16</v>
      </c>
      <c r="I70" s="69">
        <v>0.33</v>
      </c>
      <c r="J70" s="69">
        <v>0.3</v>
      </c>
      <c r="K70" s="69">
        <v>0.17</v>
      </c>
      <c r="L70" s="69">
        <v>0</v>
      </c>
      <c r="M70" s="2"/>
      <c r="N70" s="2"/>
      <c r="O70" s="2"/>
    </row>
    <row r="71" spans="1:15" ht="15.75">
      <c r="A71" s="4"/>
      <c r="B71" s="10" t="s">
        <v>53</v>
      </c>
      <c r="C71" s="6"/>
      <c r="D71" s="40">
        <f>ROUND(IF($D$61&lt;=100,$D$26*H71,IF(AND($D$61&gt;100,$D$61&lt;=200),$D$26*I71,IF(AND($D$61&gt;200,$D$61&lt;=250),$D$26*J71,IF(AND($D$61&gt;250,D61&lt;400),$D$26*K71,IF($D$61&gt;=400,$D$26*L71))))),0)</f>
        <v>11</v>
      </c>
      <c r="E71" s="11"/>
      <c r="F71" s="67">
        <v>0.015</v>
      </c>
      <c r="G71" s="67"/>
      <c r="H71" s="69">
        <v>0.02</v>
      </c>
      <c r="I71" s="69">
        <v>0.15</v>
      </c>
      <c r="J71" s="69">
        <v>0.14</v>
      </c>
      <c r="K71" s="69">
        <v>0.1</v>
      </c>
      <c r="L71" s="69">
        <v>0.01</v>
      </c>
      <c r="M71" s="2"/>
      <c r="N71" s="2"/>
      <c r="O71" s="2"/>
    </row>
    <row r="72" spans="1:15" ht="15.75">
      <c r="A72" s="4"/>
      <c r="B72" s="10" t="s">
        <v>54</v>
      </c>
      <c r="C72" s="6"/>
      <c r="D72" s="40">
        <f>ROUND(IF($D$61&lt;=100,$D$26*H72,IF(AND($D$61&gt;100,$D$61&lt;=200),$D$26*I72,IF(AND($D$61&gt;200,$D$61&lt;=250),$D$26*J72,IF(AND($D$61&gt;250,D61&lt;400),$D$26*K72,IF($D$61&gt;=400,$D$26*L72))))),0)</f>
        <v>6</v>
      </c>
      <c r="E72" s="11"/>
      <c r="F72" s="67">
        <v>0.02</v>
      </c>
      <c r="G72" s="67"/>
      <c r="H72" s="69">
        <v>0.01</v>
      </c>
      <c r="I72" s="69">
        <v>0.08</v>
      </c>
      <c r="J72" s="69">
        <v>0.08</v>
      </c>
      <c r="K72" s="69">
        <v>0.05</v>
      </c>
      <c r="L72" s="69">
        <v>0.02</v>
      </c>
      <c r="M72" s="2"/>
      <c r="N72" s="2"/>
      <c r="O72" s="2"/>
    </row>
    <row r="73" spans="1:15" ht="15.75">
      <c r="A73" s="4"/>
      <c r="B73" s="10" t="s">
        <v>55</v>
      </c>
      <c r="C73" s="6"/>
      <c r="D73" s="40">
        <f>ROUND(IF($D$61&lt;=100,$D$26*H73,IF(AND($D$61&gt;100,$D$61&lt;=200),$D$26*I73,IF(AND($D$61&gt;200,$D$61&lt;=250),$D$26*J73,IF(AND($D$61&gt;250,D61&lt;400),$D$26*K73,IF($D$61&gt;=400,$D$26*L73))))),0)</f>
        <v>4</v>
      </c>
      <c r="E73" s="11"/>
      <c r="F73" s="67">
        <v>0.024</v>
      </c>
      <c r="G73" s="67"/>
      <c r="H73" s="69">
        <v>0.01</v>
      </c>
      <c r="I73" s="69">
        <v>0.07</v>
      </c>
      <c r="J73" s="69">
        <v>0.05</v>
      </c>
      <c r="K73" s="69">
        <v>0.06</v>
      </c>
      <c r="L73" s="69">
        <v>0.03</v>
      </c>
      <c r="M73" s="2"/>
      <c r="N73" s="2"/>
      <c r="O73" s="2"/>
    </row>
    <row r="74" spans="1:15" ht="15.75">
      <c r="A74" s="4"/>
      <c r="B74" s="10" t="s">
        <v>52</v>
      </c>
      <c r="C74" s="6"/>
      <c r="D74" s="40">
        <f>ROUND(IF($D$61&lt;=100,$D$26*H74,IF(AND($D$61&gt;100,$D$61&lt;=200),$D$26*I74,IF(AND($D$61&gt;200,$D$61&lt;=250),$D$26*J74,IF(AND($D$61&gt;250,D61&lt;400),$D$26*K74,IF($D$61&gt;=400,$D$26*L74))))),0)</f>
        <v>2</v>
      </c>
      <c r="E74" s="11"/>
      <c r="F74" s="67">
        <v>0.027</v>
      </c>
      <c r="G74" s="67"/>
      <c r="H74" s="69">
        <v>0</v>
      </c>
      <c r="I74" s="69">
        <v>0.03</v>
      </c>
      <c r="J74" s="69">
        <v>0.03</v>
      </c>
      <c r="K74" s="69">
        <v>0.08</v>
      </c>
      <c r="L74" s="69">
        <v>0.05</v>
      </c>
      <c r="M74" s="2"/>
      <c r="N74" s="2"/>
      <c r="O74" s="2"/>
    </row>
    <row r="75" spans="1:15" ht="15.75">
      <c r="A75" s="4"/>
      <c r="B75" s="10" t="s">
        <v>51</v>
      </c>
      <c r="C75" s="6"/>
      <c r="D75" s="40">
        <f>ROUND(IF($D$61&lt;=100,$D$26*H75,IF(AND($D$61&gt;100,$D$61&lt;=200),$D$26*I75,IF(AND($D$61&gt;200,$D$61&lt;=250),$D$26*J75,IF(AND($D$61&gt;250,D61&lt;400),$D$26*K75,IF($D$61&gt;=400,$D$26*L75))))),0)</f>
        <v>2</v>
      </c>
      <c r="E75" s="11"/>
      <c r="F75" s="67">
        <v>0.03</v>
      </c>
      <c r="G75" s="67"/>
      <c r="H75" s="69">
        <v>0</v>
      </c>
      <c r="I75" s="69">
        <v>0.01</v>
      </c>
      <c r="J75" s="69">
        <v>0.02</v>
      </c>
      <c r="K75" s="69">
        <v>0.1</v>
      </c>
      <c r="L75" s="69">
        <v>0.08</v>
      </c>
      <c r="M75" s="2"/>
      <c r="N75" s="2"/>
      <c r="O75" s="2"/>
    </row>
    <row r="76" spans="1:15" ht="15.75">
      <c r="A76" s="4"/>
      <c r="B76" s="10" t="s">
        <v>50</v>
      </c>
      <c r="C76" s="6"/>
      <c r="D76" s="40">
        <f>ROUND(IF($D$61&lt;=100,$D$26*H76,IF(AND($D$61&gt;100,$D$61&lt;=200),$D$26*I76,IF(AND($D$61&gt;200,$D$61&lt;=250),$D$26*J76,IF(AND($D$61&gt;250,D61&lt;400),$D$26*K76,IF($D$61&gt;=400,$D$26*L76))))),0)</f>
        <v>2</v>
      </c>
      <c r="E76" s="11"/>
      <c r="F76" s="67">
        <v>0.035</v>
      </c>
      <c r="G76" s="67"/>
      <c r="H76" s="69">
        <v>0</v>
      </c>
      <c r="I76" s="69">
        <v>0.01</v>
      </c>
      <c r="J76" s="69">
        <v>0.02</v>
      </c>
      <c r="K76" s="69">
        <v>0.13</v>
      </c>
      <c r="L76" s="69">
        <v>0.15</v>
      </c>
      <c r="M76" s="2"/>
      <c r="N76" s="2"/>
      <c r="O76" s="2"/>
    </row>
    <row r="77" spans="1:15" ht="15.75">
      <c r="A77" s="4"/>
      <c r="B77" s="10" t="s">
        <v>49</v>
      </c>
      <c r="C77" s="6"/>
      <c r="D77" s="40">
        <f>ROUND(IF($D$61&lt;=100,$D$26*H77,IF(AND($D$61&gt;100,$D$61&lt;=200),$D$26*I77,IF(AND($D$61&gt;200,$D$61&lt;=250),$D$26*J77,IF(AND($D$61&gt;250,D61&lt;400),$D$26*K77,IF($D$61&gt;=400,$D$26*L77))))),0)</f>
        <v>6</v>
      </c>
      <c r="E77" s="11"/>
      <c r="F77" s="67">
        <v>0.08</v>
      </c>
      <c r="G77" s="67"/>
      <c r="H77" s="69">
        <v>0</v>
      </c>
      <c r="I77" s="69">
        <v>0</v>
      </c>
      <c r="J77" s="69">
        <v>0.07</v>
      </c>
      <c r="K77" s="69">
        <v>0.15</v>
      </c>
      <c r="L77" s="69">
        <v>0.66</v>
      </c>
      <c r="M77" s="2"/>
      <c r="N77" s="2"/>
      <c r="O77" s="2"/>
    </row>
    <row r="78" spans="1:15" ht="14.25">
      <c r="A78" s="4"/>
      <c r="B78" s="10"/>
      <c r="C78" s="6"/>
      <c r="D78" s="41"/>
      <c r="E78" s="11"/>
      <c r="F78" s="68"/>
      <c r="G78" s="68"/>
      <c r="H78" s="70"/>
      <c r="I78" s="71"/>
      <c r="J78" s="72"/>
      <c r="K78" s="72"/>
      <c r="L78" s="72"/>
      <c r="M78" s="2"/>
      <c r="N78" s="2"/>
      <c r="O78" s="2"/>
    </row>
    <row r="79" spans="1:15" ht="14.25">
      <c r="A79" s="4"/>
      <c r="B79" s="10" t="s">
        <v>90</v>
      </c>
      <c r="C79" s="6"/>
      <c r="D79" s="74">
        <v>0</v>
      </c>
      <c r="E79" s="11"/>
      <c r="F79" s="68"/>
      <c r="G79" s="68"/>
      <c r="H79" s="70"/>
      <c r="I79" s="71"/>
      <c r="J79" s="72"/>
      <c r="K79" s="72"/>
      <c r="L79" s="72"/>
      <c r="M79" s="2"/>
      <c r="N79" s="2"/>
      <c r="O79" s="2"/>
    </row>
    <row r="80" spans="1:15" ht="14.25">
      <c r="A80" s="4"/>
      <c r="B80" s="10"/>
      <c r="C80" s="6"/>
      <c r="D80" s="41"/>
      <c r="E80" s="11"/>
      <c r="F80" s="68"/>
      <c r="G80" s="68"/>
      <c r="H80" s="70"/>
      <c r="I80" s="71"/>
      <c r="J80" s="72"/>
      <c r="K80" s="72"/>
      <c r="L80" s="72"/>
      <c r="M80" s="2"/>
      <c r="N80" s="2"/>
      <c r="O80" s="2"/>
    </row>
    <row r="81" spans="1:15" ht="15.75" customHeight="1">
      <c r="A81" s="4"/>
      <c r="B81" s="9" t="s">
        <v>40</v>
      </c>
      <c r="C81" s="11"/>
      <c r="D81" s="36"/>
      <c r="E81" s="18"/>
      <c r="F81" s="32"/>
      <c r="G81" s="32"/>
      <c r="H81" s="73">
        <f>H69*$F$69+H70*$F$70+H71*$F$71+H72*$F$72+H73*$F$73+H74*$F$74+H75*$F$75+H76*$F$76+H77*$F$77</f>
        <v>0.0015400000000000001</v>
      </c>
      <c r="I81" s="73">
        <f>I69*$F$69+I70*$F$70+I71*$F$71+I72*$F$72+I73*$F$73+I74*$F$74+I75*$F$75+I76*$F$76+I77*$F$77</f>
        <v>0.00864</v>
      </c>
      <c r="J81" s="73">
        <f>J69*$F$69+J70*$F$70+J71*$F$71+J72*$F$72+J73*$F$73+J74*$F$74+J75*$F$75+J76*$F$76+J77*$F$77</f>
        <v>0.014110000000000001</v>
      </c>
      <c r="K81" s="73">
        <f>K69*$F$69+K70*$F$70+K71*$F$71+K72*$F$72+K73*$F$73+K74*$F$74+K75*$F$75+K76*$F$76+K77*$F$77</f>
        <v>0.026500000000000003</v>
      </c>
      <c r="L81" s="73">
        <f>L69*$F$69+L70*$F$70+L71*$F$71+L72*$F$72+L73*$F$73+L74*$F$74+L75*$F$75+L76*$F$76+L77*$F$77</f>
        <v>0.06307000000000001</v>
      </c>
      <c r="M81" s="2"/>
      <c r="N81" s="2"/>
      <c r="O81" s="2"/>
    </row>
    <row r="82" spans="1:15" ht="15">
      <c r="A82" s="4"/>
      <c r="B82" s="10"/>
      <c r="C82" s="11"/>
      <c r="D82" s="42" t="s">
        <v>42</v>
      </c>
      <c r="E82" s="20"/>
      <c r="F82" s="32"/>
      <c r="G82" s="32"/>
      <c r="H82" s="72"/>
      <c r="I82" s="72"/>
      <c r="J82" s="72"/>
      <c r="K82" s="72"/>
      <c r="L82" s="72"/>
      <c r="M82" s="2"/>
      <c r="N82" s="2"/>
      <c r="O82" s="2"/>
    </row>
    <row r="83" spans="1:15" ht="15">
      <c r="A83" s="4"/>
      <c r="B83" s="10"/>
      <c r="C83" s="11"/>
      <c r="D83" s="36"/>
      <c r="E83" s="20"/>
      <c r="F83" s="32"/>
      <c r="G83" s="32"/>
      <c r="H83" s="72"/>
      <c r="I83" s="72"/>
      <c r="J83" s="72"/>
      <c r="K83" s="72"/>
      <c r="L83" s="72"/>
      <c r="M83" s="2"/>
      <c r="N83" s="2"/>
      <c r="O83" s="2"/>
    </row>
    <row r="84" spans="1:15" ht="15">
      <c r="A84" s="4"/>
      <c r="B84" s="10" t="s">
        <v>18</v>
      </c>
      <c r="C84" s="11"/>
      <c r="D84" s="35">
        <v>0</v>
      </c>
      <c r="E84" s="21" t="s">
        <v>31</v>
      </c>
      <c r="F84" s="31"/>
      <c r="G84" s="31"/>
      <c r="H84" s="28"/>
      <c r="I84" s="28"/>
      <c r="J84" s="28"/>
      <c r="K84" s="28"/>
      <c r="L84" s="28"/>
      <c r="M84" s="2"/>
      <c r="N84" s="2"/>
      <c r="O84" s="2"/>
    </row>
    <row r="85" spans="1:15" ht="15">
      <c r="A85" s="4"/>
      <c r="B85" s="10" t="s">
        <v>19</v>
      </c>
      <c r="C85" s="11"/>
      <c r="D85" s="35">
        <v>0</v>
      </c>
      <c r="E85" s="21" t="s">
        <v>31</v>
      </c>
      <c r="F85" s="31"/>
      <c r="G85" s="31"/>
      <c r="H85" s="28"/>
      <c r="I85" s="28"/>
      <c r="J85" s="28"/>
      <c r="K85" s="28"/>
      <c r="L85" s="28"/>
      <c r="M85" s="2"/>
      <c r="N85" s="2"/>
      <c r="O85" s="2"/>
    </row>
    <row r="86" spans="1:15" ht="15">
      <c r="A86" s="4"/>
      <c r="B86" s="10" t="s">
        <v>26</v>
      </c>
      <c r="C86" s="11"/>
      <c r="D86" s="35">
        <v>20</v>
      </c>
      <c r="E86" s="21" t="s">
        <v>31</v>
      </c>
      <c r="F86" s="31"/>
      <c r="G86" s="31"/>
      <c r="H86" s="28"/>
      <c r="I86" s="28"/>
      <c r="J86" s="28"/>
      <c r="K86" s="28"/>
      <c r="L86" s="28"/>
      <c r="M86" s="2"/>
      <c r="N86" s="2"/>
      <c r="O86" s="2"/>
    </row>
    <row r="87" spans="1:15" ht="15">
      <c r="A87" s="4"/>
      <c r="B87" s="10" t="s">
        <v>13</v>
      </c>
      <c r="C87" s="11"/>
      <c r="D87" s="35">
        <v>30</v>
      </c>
      <c r="E87" s="21" t="s">
        <v>31</v>
      </c>
      <c r="F87" s="31"/>
      <c r="G87" s="31"/>
      <c r="H87" s="28"/>
      <c r="I87" s="28"/>
      <c r="J87" s="28"/>
      <c r="K87" s="28"/>
      <c r="L87" s="28"/>
      <c r="M87" s="2"/>
      <c r="N87" s="2"/>
      <c r="O87" s="2"/>
    </row>
    <row r="88" spans="1:15" ht="15">
      <c r="A88" s="4"/>
      <c r="B88" s="10" t="s">
        <v>21</v>
      </c>
      <c r="C88" s="11"/>
      <c r="D88" s="35">
        <v>9</v>
      </c>
      <c r="E88" s="21" t="s">
        <v>31</v>
      </c>
      <c r="F88" s="31"/>
      <c r="G88" s="31"/>
      <c r="H88" s="28"/>
      <c r="I88" s="28"/>
      <c r="J88" s="28"/>
      <c r="K88" s="28"/>
      <c r="L88" s="28"/>
      <c r="M88" s="2"/>
      <c r="N88" s="2"/>
      <c r="O88" s="2"/>
    </row>
    <row r="89" spans="1:15" ht="15">
      <c r="A89" s="4"/>
      <c r="B89" s="10" t="s">
        <v>15</v>
      </c>
      <c r="C89" s="11"/>
      <c r="D89" s="35">
        <v>6</v>
      </c>
      <c r="E89" s="21" t="s">
        <v>31</v>
      </c>
      <c r="F89" s="31"/>
      <c r="G89" s="31"/>
      <c r="H89" s="28"/>
      <c r="I89" s="28"/>
      <c r="J89" s="28"/>
      <c r="K89" s="28"/>
      <c r="L89" s="28"/>
      <c r="M89" s="2"/>
      <c r="N89" s="2"/>
      <c r="O89" s="2"/>
    </row>
    <row r="90" spans="1:15" ht="15">
      <c r="A90" s="4"/>
      <c r="B90" s="10"/>
      <c r="C90" s="11"/>
      <c r="D90" s="36"/>
      <c r="E90" s="22"/>
      <c r="F90" s="31"/>
      <c r="G90" s="31"/>
      <c r="H90" s="28"/>
      <c r="I90" s="28"/>
      <c r="J90" s="28"/>
      <c r="K90" s="28"/>
      <c r="L90" s="28"/>
      <c r="M90" s="2"/>
      <c r="N90" s="2"/>
      <c r="O90" s="2"/>
    </row>
    <row r="91" spans="1:15" ht="15">
      <c r="A91" s="4"/>
      <c r="B91" s="10" t="s">
        <v>22</v>
      </c>
      <c r="C91" s="11"/>
      <c r="D91" s="35">
        <v>0</v>
      </c>
      <c r="E91" s="21" t="s">
        <v>31</v>
      </c>
      <c r="F91" s="31"/>
      <c r="G91" s="31"/>
      <c r="H91" s="28"/>
      <c r="I91" s="28"/>
      <c r="J91" s="28"/>
      <c r="K91" s="28"/>
      <c r="L91" s="28"/>
      <c r="M91" s="2"/>
      <c r="N91" s="2"/>
      <c r="O91" s="2"/>
    </row>
    <row r="92" spans="1:15" ht="14.25">
      <c r="A92" s="4"/>
      <c r="B92" s="10"/>
      <c r="C92" s="11"/>
      <c r="D92" s="36"/>
      <c r="E92" s="11"/>
      <c r="F92" s="32"/>
      <c r="G92" s="32"/>
      <c r="H92" s="28"/>
      <c r="I92" s="28"/>
      <c r="J92" s="28"/>
      <c r="K92" s="28"/>
      <c r="L92" s="28"/>
      <c r="M92" s="2"/>
      <c r="N92" s="2"/>
      <c r="O92" s="2"/>
    </row>
    <row r="93" spans="1:15" ht="15">
      <c r="A93" s="4"/>
      <c r="B93" s="9" t="s">
        <v>41</v>
      </c>
      <c r="C93" s="11"/>
      <c r="D93" s="36"/>
      <c r="E93" s="11"/>
      <c r="F93" s="32"/>
      <c r="G93" s="32"/>
      <c r="H93" s="28"/>
      <c r="I93" s="28"/>
      <c r="J93" s="28"/>
      <c r="K93" s="28"/>
      <c r="L93" s="28"/>
      <c r="M93" s="2"/>
      <c r="N93" s="2"/>
      <c r="O93" s="2"/>
    </row>
    <row r="94" spans="1:15" ht="14.25">
      <c r="A94" s="4"/>
      <c r="B94" s="10"/>
      <c r="C94" s="11"/>
      <c r="D94" s="36"/>
      <c r="E94" s="11"/>
      <c r="F94" s="32"/>
      <c r="G94" s="32"/>
      <c r="H94" s="28"/>
      <c r="I94" s="28"/>
      <c r="J94" s="28"/>
      <c r="K94" s="28"/>
      <c r="L94" s="28"/>
      <c r="M94" s="2"/>
      <c r="N94" s="2"/>
      <c r="O94" s="2"/>
    </row>
    <row r="95" spans="1:15" ht="15">
      <c r="A95" s="4"/>
      <c r="B95" s="10" t="s">
        <v>23</v>
      </c>
      <c r="C95" s="11"/>
      <c r="D95" s="35">
        <f>0.15*D28</f>
        <v>3</v>
      </c>
      <c r="E95" s="21" t="s">
        <v>31</v>
      </c>
      <c r="F95" s="31"/>
      <c r="G95" s="31"/>
      <c r="H95" s="28"/>
      <c r="I95" s="28"/>
      <c r="J95" s="28"/>
      <c r="K95" s="28"/>
      <c r="L95" s="28"/>
      <c r="M95" s="2"/>
      <c r="N95" s="2"/>
      <c r="O95" s="2"/>
    </row>
    <row r="96" spans="1:15" ht="15">
      <c r="A96" s="4"/>
      <c r="B96" s="10" t="s">
        <v>25</v>
      </c>
      <c r="C96" s="11"/>
      <c r="D96" s="35">
        <v>480</v>
      </c>
      <c r="E96" s="21" t="s">
        <v>31</v>
      </c>
      <c r="F96" s="31"/>
      <c r="G96" s="31"/>
      <c r="H96" s="28"/>
      <c r="I96" s="28"/>
      <c r="J96" s="28"/>
      <c r="K96" s="28"/>
      <c r="L96" s="28"/>
      <c r="M96" s="2"/>
      <c r="N96" s="2"/>
      <c r="O96" s="2"/>
    </row>
    <row r="97" spans="1:15" ht="14.25">
      <c r="A97" s="4"/>
      <c r="B97" s="10"/>
      <c r="C97" s="6"/>
      <c r="D97" s="6"/>
      <c r="E97" s="6"/>
      <c r="F97" s="6"/>
      <c r="G97" s="6"/>
      <c r="H97" s="4"/>
      <c r="I97" s="4"/>
      <c r="J97" s="4"/>
      <c r="K97" s="4"/>
      <c r="L97" s="4"/>
      <c r="M97" s="2"/>
      <c r="N97" s="2"/>
      <c r="O97" s="2"/>
    </row>
    <row r="98" spans="1:15" ht="12.75">
      <c r="A98" s="4"/>
      <c r="B98" s="6"/>
      <c r="C98" s="6"/>
      <c r="D98" s="6"/>
      <c r="E98" s="6"/>
      <c r="F98" s="6"/>
      <c r="G98" s="6"/>
      <c r="H98" s="4"/>
      <c r="I98" s="4"/>
      <c r="J98" s="4"/>
      <c r="K98" s="4"/>
      <c r="L98" s="4"/>
      <c r="M98" s="2"/>
      <c r="N98" s="2"/>
      <c r="O98" s="2"/>
    </row>
    <row r="99" spans="1:15" ht="12.75">
      <c r="A99" s="4"/>
      <c r="B99" s="6"/>
      <c r="C99" s="6"/>
      <c r="D99" s="6"/>
      <c r="E99" s="6"/>
      <c r="F99" s="6"/>
      <c r="G99" s="6"/>
      <c r="H99" s="4"/>
      <c r="I99" s="4"/>
      <c r="J99" s="4"/>
      <c r="K99" s="4"/>
      <c r="L99" s="4"/>
      <c r="M99" s="2"/>
      <c r="N99" s="2"/>
      <c r="O99" s="2"/>
    </row>
    <row r="100" spans="1:15" ht="12.75">
      <c r="A100" s="4"/>
      <c r="B100" s="6"/>
      <c r="C100" s="6"/>
      <c r="D100" s="6"/>
      <c r="E100" s="6"/>
      <c r="F100" s="6"/>
      <c r="G100" s="6"/>
      <c r="H100" s="4"/>
      <c r="I100" s="4"/>
      <c r="J100" s="4"/>
      <c r="K100" s="4"/>
      <c r="L100" s="4"/>
      <c r="M100" s="2"/>
      <c r="N100" s="2"/>
      <c r="O100" s="2"/>
    </row>
    <row r="101" spans="1:15" ht="12.75">
      <c r="A101" s="4"/>
      <c r="B101" s="6"/>
      <c r="C101" s="6"/>
      <c r="D101" s="6"/>
      <c r="E101" s="6"/>
      <c r="F101" s="6"/>
      <c r="G101" s="6"/>
      <c r="H101" s="4"/>
      <c r="I101" s="4"/>
      <c r="J101" s="4"/>
      <c r="K101" s="4"/>
      <c r="L101" s="4"/>
      <c r="M101" s="2"/>
      <c r="N101" s="2"/>
      <c r="O101" s="2"/>
    </row>
    <row r="102" spans="1:15" ht="12.75">
      <c r="A102" s="4"/>
      <c r="B102" s="6"/>
      <c r="C102" s="6"/>
      <c r="D102" s="6"/>
      <c r="E102" s="6"/>
      <c r="F102" s="6"/>
      <c r="G102" s="6"/>
      <c r="H102" s="4"/>
      <c r="I102" s="4"/>
      <c r="J102" s="4"/>
      <c r="K102" s="4"/>
      <c r="L102" s="4"/>
      <c r="M102" s="2"/>
      <c r="N102" s="2"/>
      <c r="O102" s="2"/>
    </row>
    <row r="103" spans="1:15" ht="18">
      <c r="A103" s="4"/>
      <c r="B103" s="23" t="s">
        <v>34</v>
      </c>
      <c r="C103" s="6"/>
      <c r="D103" s="6"/>
      <c r="E103" s="6"/>
      <c r="F103" s="6"/>
      <c r="G103" s="6"/>
      <c r="H103" s="4"/>
      <c r="I103" s="4"/>
      <c r="J103" s="4"/>
      <c r="K103" s="4"/>
      <c r="L103" s="4"/>
      <c r="M103" s="2"/>
      <c r="N103" s="2"/>
      <c r="O103" s="2"/>
    </row>
    <row r="104" spans="1:15" ht="12.75">
      <c r="A104" s="4"/>
      <c r="B104" s="6"/>
      <c r="C104" s="6"/>
      <c r="D104" s="34"/>
      <c r="E104" s="6"/>
      <c r="F104" s="6"/>
      <c r="G104" s="6"/>
      <c r="H104" s="4"/>
      <c r="I104" s="4"/>
      <c r="J104" s="4"/>
      <c r="K104" s="4"/>
      <c r="L104" s="4"/>
      <c r="M104" s="2"/>
      <c r="N104" s="2"/>
      <c r="O104" s="2"/>
    </row>
    <row r="105" spans="1:15" ht="15">
      <c r="A105" s="4"/>
      <c r="B105" s="24" t="s">
        <v>67</v>
      </c>
      <c r="C105" s="48">
        <f aca="true" t="shared" si="0" ref="C105:C115">D105</f>
        <v>1588</v>
      </c>
      <c r="D105" s="58">
        <f>D28*D27*IF(OR(D36&gt;0.2*D28,D44&gt;0.58*D28),D49+1%,D49)*D50</f>
        <v>1588</v>
      </c>
      <c r="E105" s="6"/>
      <c r="F105" s="57">
        <f>C105/$D$26</f>
        <v>19.85</v>
      </c>
      <c r="G105" s="6"/>
      <c r="H105" s="4"/>
      <c r="I105" s="4"/>
      <c r="J105" s="4"/>
      <c r="K105" s="4"/>
      <c r="L105" s="4"/>
      <c r="M105" s="2"/>
      <c r="N105" s="2"/>
      <c r="O105" s="2"/>
    </row>
    <row r="106" spans="1:15" ht="15">
      <c r="A106" s="4"/>
      <c r="B106" s="24" t="s">
        <v>68</v>
      </c>
      <c r="C106" s="48">
        <f>IF(D79=0,E106,D106)</f>
        <v>2061.2669834586463</v>
      </c>
      <c r="D106" s="58">
        <f>(D27*D69*F69+D27*D70*F70+D27*D71*F71+D27*D72*F72+D27*D73*F73+D27*D74*F74+D27*D75*F75+D27*D76*F76+D27*D77*F77)*D50</f>
        <v>1850.0200000000002</v>
      </c>
      <c r="E106" s="57">
        <f>D26*D27*Blad1!A26*Rekenmodule!D50</f>
        <v>2061.2669834586463</v>
      </c>
      <c r="F106" s="57">
        <f aca="true" t="shared" si="1" ref="F106:F114">C106/$D$26</f>
        <v>25.76583729323308</v>
      </c>
      <c r="G106" s="6"/>
      <c r="H106" s="4"/>
      <c r="I106" s="4"/>
      <c r="J106" s="4"/>
      <c r="K106" s="4"/>
      <c r="L106" s="4"/>
      <c r="M106" s="2"/>
      <c r="N106" s="2"/>
      <c r="O106" s="2"/>
    </row>
    <row r="107" spans="1:15" ht="15">
      <c r="A107" s="4"/>
      <c r="B107" s="24" t="s">
        <v>69</v>
      </c>
      <c r="C107" s="48">
        <f t="shared" si="0"/>
        <v>780.983606557377</v>
      </c>
      <c r="D107" s="58">
        <f>D28*(D27/305)*D55*(D50+D57)+D84*(D27/305)*D89*(D50+D57)</f>
        <v>780.983606557377</v>
      </c>
      <c r="E107" s="6"/>
      <c r="F107" s="57">
        <f t="shared" si="1"/>
        <v>9.762295081967213</v>
      </c>
      <c r="G107" s="6"/>
      <c r="H107" s="4"/>
      <c r="I107" s="4"/>
      <c r="J107" s="4"/>
      <c r="K107" s="4"/>
      <c r="L107" s="4"/>
      <c r="M107" s="2"/>
      <c r="N107" s="2"/>
      <c r="O107" s="2"/>
    </row>
    <row r="108" spans="1:15" ht="15">
      <c r="A108" s="4"/>
      <c r="B108" s="24" t="s">
        <v>70</v>
      </c>
      <c r="C108" s="48">
        <f t="shared" si="0"/>
        <v>22</v>
      </c>
      <c r="D108" s="58">
        <f>D51*D52+D85*D86</f>
        <v>22</v>
      </c>
      <c r="E108" s="6"/>
      <c r="F108" s="57">
        <f t="shared" si="1"/>
        <v>0.275</v>
      </c>
      <c r="G108" s="6"/>
      <c r="H108" s="4"/>
      <c r="I108" s="4"/>
      <c r="J108" s="4"/>
      <c r="K108" s="4"/>
      <c r="L108" s="4"/>
      <c r="M108" s="2"/>
      <c r="N108" s="2"/>
      <c r="O108" s="2"/>
    </row>
    <row r="109" spans="1:15" ht="15">
      <c r="A109" s="4"/>
      <c r="B109" s="24" t="s">
        <v>71</v>
      </c>
      <c r="C109" s="48">
        <f t="shared" si="0"/>
        <v>500</v>
      </c>
      <c r="D109" s="58">
        <f>D28*D54+D84*D88</f>
        <v>500</v>
      </c>
      <c r="E109" s="6"/>
      <c r="F109" s="57">
        <f t="shared" si="1"/>
        <v>6.25</v>
      </c>
      <c r="G109" s="6"/>
      <c r="H109" s="4"/>
      <c r="I109" s="4"/>
      <c r="J109" s="4"/>
      <c r="K109" s="4"/>
      <c r="L109" s="4"/>
      <c r="M109" s="2"/>
      <c r="N109" s="2"/>
      <c r="O109" s="2"/>
    </row>
    <row r="110" spans="1:15" ht="15">
      <c r="A110" s="4"/>
      <c r="B110" s="24" t="s">
        <v>72</v>
      </c>
      <c r="C110" s="48">
        <f t="shared" si="0"/>
        <v>270</v>
      </c>
      <c r="D110" s="58">
        <f>D28*(D53/60)*D56+D84*(D87/60)*D56</f>
        <v>270</v>
      </c>
      <c r="E110" s="6"/>
      <c r="F110" s="57">
        <f t="shared" si="1"/>
        <v>3.375</v>
      </c>
      <c r="G110" s="6"/>
      <c r="H110" s="4"/>
      <c r="I110" s="4"/>
      <c r="J110" s="4"/>
      <c r="K110" s="4"/>
      <c r="L110" s="4"/>
      <c r="M110" s="2"/>
      <c r="N110" s="2"/>
      <c r="O110" s="2"/>
    </row>
    <row r="111" spans="1:15" ht="15">
      <c r="A111" s="4"/>
      <c r="B111" s="24" t="s">
        <v>73</v>
      </c>
      <c r="C111" s="48">
        <f t="shared" si="0"/>
        <v>0</v>
      </c>
      <c r="D111" s="58">
        <f>D91*0.0045*(D26*D27/12)</f>
        <v>0</v>
      </c>
      <c r="E111" s="6"/>
      <c r="F111" s="57">
        <f t="shared" si="1"/>
        <v>0</v>
      </c>
      <c r="G111" s="6"/>
      <c r="H111" s="4"/>
      <c r="I111" s="4"/>
      <c r="J111" s="4"/>
      <c r="K111" s="4"/>
      <c r="L111" s="4"/>
      <c r="M111" s="2"/>
      <c r="N111" s="2"/>
      <c r="O111" s="2"/>
    </row>
    <row r="112" spans="1:15" ht="15.75" thickBot="1">
      <c r="A112" s="4"/>
      <c r="B112" s="25" t="s">
        <v>74</v>
      </c>
      <c r="C112" s="48">
        <f t="shared" si="0"/>
        <v>1440</v>
      </c>
      <c r="D112" s="58">
        <f>D95*D96</f>
        <v>1440</v>
      </c>
      <c r="E112" s="6"/>
      <c r="F112" s="57">
        <f t="shared" si="1"/>
        <v>18</v>
      </c>
      <c r="G112" s="6"/>
      <c r="H112" s="4"/>
      <c r="I112" s="4"/>
      <c r="J112" s="4"/>
      <c r="K112" s="4"/>
      <c r="L112" s="4"/>
      <c r="M112" s="2"/>
      <c r="N112" s="2"/>
      <c r="O112" s="2"/>
    </row>
    <row r="113" spans="1:15" ht="15.75">
      <c r="A113" s="4"/>
      <c r="B113" s="26" t="s">
        <v>64</v>
      </c>
      <c r="C113" s="49">
        <f>SUM(C105:C112)</f>
        <v>6662.250590016023</v>
      </c>
      <c r="D113" s="59"/>
      <c r="E113" s="27"/>
      <c r="F113" s="57">
        <f t="shared" si="1"/>
        <v>83.27813237520029</v>
      </c>
      <c r="G113" s="27"/>
      <c r="H113" s="4"/>
      <c r="I113" s="4"/>
      <c r="J113" s="4"/>
      <c r="K113" s="4"/>
      <c r="L113" s="4"/>
      <c r="M113" s="2"/>
      <c r="N113" s="2"/>
      <c r="O113" s="2"/>
    </row>
    <row r="114" spans="1:15" ht="15.75">
      <c r="A114" s="4"/>
      <c r="B114" s="26" t="s">
        <v>66</v>
      </c>
      <c r="C114" s="50">
        <f>C113/D26</f>
        <v>83.27813237520029</v>
      </c>
      <c r="D114" s="59">
        <f>D113/D26</f>
        <v>0</v>
      </c>
      <c r="E114" s="27"/>
      <c r="F114" s="57">
        <f t="shared" si="1"/>
        <v>1.0409766546900037</v>
      </c>
      <c r="G114" s="27"/>
      <c r="H114" s="4"/>
      <c r="I114" s="4"/>
      <c r="J114" s="4"/>
      <c r="K114" s="4"/>
      <c r="L114" s="4"/>
      <c r="M114" s="2"/>
      <c r="N114" s="2"/>
      <c r="O114" s="2"/>
    </row>
    <row r="115" spans="1:15" ht="15.75">
      <c r="A115" s="4"/>
      <c r="B115" s="26" t="s">
        <v>65</v>
      </c>
      <c r="C115" s="50">
        <f t="shared" si="0"/>
        <v>230.04918032786887</v>
      </c>
      <c r="D115" s="60">
        <f>(C105+(D28*(D27/305)*D55*(D50+D57))+(D51*D52)+(D28*D54)+(D28*(D53/60)*D56)+(D95*D96))/D28</f>
        <v>230.04918032786887</v>
      </c>
      <c r="E115" s="27"/>
      <c r="F115" s="3"/>
      <c r="G115" s="27"/>
      <c r="H115" s="4"/>
      <c r="I115" s="4"/>
      <c r="J115" s="4"/>
      <c r="K115" s="4"/>
      <c r="L115" s="4"/>
      <c r="M115" s="2"/>
      <c r="N115" s="2"/>
      <c r="O115" s="2"/>
    </row>
    <row r="116" spans="1:15" ht="12.75">
      <c r="A116" s="5"/>
      <c r="B116" s="43"/>
      <c r="C116" s="43"/>
      <c r="D116" s="55"/>
      <c r="E116" s="27"/>
      <c r="F116" s="27"/>
      <c r="G116" s="27"/>
      <c r="H116" s="5"/>
      <c r="I116" s="5"/>
      <c r="J116" s="5"/>
      <c r="K116" s="5"/>
      <c r="L116" s="5"/>
      <c r="M116" s="2"/>
      <c r="N116" s="2"/>
      <c r="O116" s="2"/>
    </row>
    <row r="117" spans="1:15" ht="15">
      <c r="A117" s="5"/>
      <c r="B117" s="24" t="s">
        <v>94</v>
      </c>
      <c r="C117" s="44">
        <f>D20</f>
        <v>0</v>
      </c>
      <c r="D117" s="56"/>
      <c r="E117" s="27"/>
      <c r="F117" s="27"/>
      <c r="G117" s="27"/>
      <c r="H117" s="5"/>
      <c r="I117" s="5"/>
      <c r="J117" s="5"/>
      <c r="K117" s="5"/>
      <c r="L117" s="5"/>
      <c r="M117" s="2"/>
      <c r="N117" s="2"/>
      <c r="O117" s="2"/>
    </row>
    <row r="118" spans="1:15" ht="15">
      <c r="A118" s="5"/>
      <c r="B118" s="24" t="s">
        <v>63</v>
      </c>
      <c r="C118" s="44">
        <f>C117-C113</f>
        <v>-6662.250590016023</v>
      </c>
      <c r="D118" s="56"/>
      <c r="E118" s="46"/>
      <c r="F118" s="27"/>
      <c r="G118" s="27"/>
      <c r="H118" s="5"/>
      <c r="I118" s="5"/>
      <c r="J118" s="5"/>
      <c r="K118" s="5"/>
      <c r="L118" s="5"/>
      <c r="M118" s="2"/>
      <c r="N118" s="2"/>
      <c r="O118" s="2"/>
    </row>
    <row r="119" spans="1:15" ht="15">
      <c r="A119" s="5"/>
      <c r="B119" s="24"/>
      <c r="C119" s="44"/>
      <c r="D119" s="6"/>
      <c r="E119" s="45"/>
      <c r="F119" s="6"/>
      <c r="G119" s="6"/>
      <c r="H119" s="5"/>
      <c r="I119" s="5"/>
      <c r="J119" s="5"/>
      <c r="K119" s="5"/>
      <c r="L119" s="5"/>
      <c r="M119" s="2"/>
      <c r="N119" s="2"/>
      <c r="O119" s="2"/>
    </row>
    <row r="120" spans="1:15" ht="15">
      <c r="A120" s="5"/>
      <c r="B120" s="6"/>
      <c r="C120" s="24" t="s">
        <v>80</v>
      </c>
      <c r="D120" s="6"/>
      <c r="E120" s="6"/>
      <c r="F120" s="6"/>
      <c r="G120" s="6"/>
      <c r="H120" s="5"/>
      <c r="I120" s="5"/>
      <c r="J120" s="5"/>
      <c r="K120" s="5"/>
      <c r="L120" s="5"/>
      <c r="M120" s="2"/>
      <c r="N120" s="2"/>
      <c r="O120" s="2"/>
    </row>
    <row r="121" spans="1:15" ht="15">
      <c r="A121" s="5"/>
      <c r="B121" s="6"/>
      <c r="C121" s="24" t="s">
        <v>81</v>
      </c>
      <c r="D121" s="6"/>
      <c r="E121" s="6"/>
      <c r="F121" s="6"/>
      <c r="G121" s="6"/>
      <c r="H121" s="5"/>
      <c r="I121" s="5"/>
      <c r="J121" s="5"/>
      <c r="K121" s="5"/>
      <c r="L121" s="5"/>
      <c r="M121" s="2"/>
      <c r="N121" s="2"/>
      <c r="O121" s="2"/>
    </row>
    <row r="122" spans="1:15" ht="15">
      <c r="A122" s="5"/>
      <c r="B122" s="6"/>
      <c r="C122" s="24" t="s">
        <v>82</v>
      </c>
      <c r="D122" s="6"/>
      <c r="E122" s="6"/>
      <c r="F122" s="6"/>
      <c r="G122" s="6"/>
      <c r="H122" s="5"/>
      <c r="I122" s="5"/>
      <c r="J122" s="5"/>
      <c r="K122" s="5"/>
      <c r="L122" s="5"/>
      <c r="M122" s="2"/>
      <c r="N122" s="2"/>
      <c r="O122" s="2"/>
    </row>
    <row r="123" spans="1:15" ht="12.75">
      <c r="A123" s="5"/>
      <c r="B123" s="6"/>
      <c r="C123" s="6"/>
      <c r="D123" s="6"/>
      <c r="E123" s="6"/>
      <c r="F123" s="6"/>
      <c r="G123" s="6"/>
      <c r="H123" s="5"/>
      <c r="I123" s="5"/>
      <c r="J123" s="5"/>
      <c r="K123" s="5"/>
      <c r="L123" s="5"/>
      <c r="M123" s="2"/>
      <c r="N123" s="2"/>
      <c r="O123" s="2"/>
    </row>
    <row r="124" spans="1:15" ht="12.75">
      <c r="A124" s="5"/>
      <c r="B124" s="6"/>
      <c r="C124" s="6"/>
      <c r="D124" s="6"/>
      <c r="E124" s="6"/>
      <c r="F124" s="6"/>
      <c r="G124" s="6"/>
      <c r="H124" s="5"/>
      <c r="I124" s="5"/>
      <c r="J124" s="5"/>
      <c r="K124" s="5"/>
      <c r="L124" s="5"/>
      <c r="M124" s="2"/>
      <c r="N124" s="2"/>
      <c r="O124" s="2"/>
    </row>
    <row r="125" spans="1:15" ht="12.75">
      <c r="A125" s="5"/>
      <c r="B125" s="6"/>
      <c r="C125" s="6"/>
      <c r="D125" s="6"/>
      <c r="E125" s="6"/>
      <c r="F125" s="6"/>
      <c r="G125" s="6"/>
      <c r="H125" s="5"/>
      <c r="I125" s="5"/>
      <c r="J125" s="5"/>
      <c r="K125" s="5"/>
      <c r="L125" s="5"/>
      <c r="M125" s="2"/>
      <c r="N125" s="2"/>
      <c r="O125" s="2"/>
    </row>
    <row r="126" spans="1:15" ht="12.75">
      <c r="A126" s="5"/>
      <c r="B126" s="6"/>
      <c r="C126" s="6"/>
      <c r="D126" s="6"/>
      <c r="E126" s="6"/>
      <c r="F126" s="6"/>
      <c r="G126" s="6"/>
      <c r="H126" s="5"/>
      <c r="I126" s="5"/>
      <c r="J126" s="5"/>
      <c r="K126" s="5"/>
      <c r="L126" s="5"/>
      <c r="M126" s="2"/>
      <c r="N126" s="2"/>
      <c r="O126" s="2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2"/>
      <c r="N127" s="2"/>
      <c r="O127" s="2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2"/>
      <c r="N128" s="2"/>
      <c r="O128" s="2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2"/>
      <c r="N129" s="2"/>
      <c r="O129" s="2"/>
    </row>
    <row r="130" spans="2:1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</sheetData>
  <sheetProtection/>
  <mergeCells count="10">
    <mergeCell ref="B7:F7"/>
    <mergeCell ref="B10:F10"/>
    <mergeCell ref="B11:F11"/>
    <mergeCell ref="B12:F12"/>
    <mergeCell ref="H67:L67"/>
    <mergeCell ref="B13:F13"/>
    <mergeCell ref="B14:F14"/>
    <mergeCell ref="B15:F15"/>
    <mergeCell ref="B17:F17"/>
    <mergeCell ref="B18:F18"/>
  </mergeCells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Medewerker Diergeneeskunde</dc:creator>
  <cp:keywords/>
  <dc:description/>
  <cp:lastModifiedBy>Steeneveld, W. (Wilma)</cp:lastModifiedBy>
  <cp:lastPrinted>2007-09-28T15:57:15Z</cp:lastPrinted>
  <dcterms:created xsi:type="dcterms:W3CDTF">2007-04-13T07:54:36Z</dcterms:created>
  <dcterms:modified xsi:type="dcterms:W3CDTF">2016-04-21T11:46:55Z</dcterms:modified>
  <cp:category/>
  <cp:version/>
  <cp:contentType/>
  <cp:contentStatus/>
</cp:coreProperties>
</file>